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15" windowWidth="25440" windowHeight="1230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G67" i="8"/>
  <c r="D67"/>
  <c r="C67"/>
  <c r="G58"/>
  <c r="D58"/>
  <c r="C58"/>
  <c r="L47"/>
  <c r="K47"/>
  <c r="J47"/>
  <c r="I47"/>
  <c r="H47"/>
  <c r="G47"/>
  <c r="L46"/>
  <c r="K46"/>
  <c r="J46"/>
  <c r="I46"/>
  <c r="H46"/>
  <c r="G46"/>
  <c r="L45"/>
  <c r="K45"/>
  <c r="J45"/>
  <c r="I45"/>
  <c r="H45"/>
  <c r="G45"/>
  <c r="L44"/>
  <c r="K44"/>
  <c r="J44"/>
  <c r="I44"/>
  <c r="H44"/>
  <c r="G44"/>
  <c r="L42"/>
  <c r="K42"/>
  <c r="J42"/>
  <c r="I42"/>
  <c r="H42"/>
  <c r="G42"/>
  <c r="L41"/>
  <c r="K41"/>
  <c r="J41"/>
  <c r="I41"/>
  <c r="H41"/>
  <c r="G41"/>
  <c r="L40"/>
  <c r="K40"/>
  <c r="J40"/>
  <c r="I40"/>
  <c r="H40"/>
  <c r="G40"/>
  <c r="L39"/>
  <c r="K39"/>
  <c r="J39"/>
  <c r="I39"/>
  <c r="H39"/>
  <c r="G39"/>
  <c r="L38"/>
  <c r="K38"/>
  <c r="J38"/>
  <c r="I38"/>
  <c r="H38"/>
  <c r="G38"/>
  <c r="L37"/>
  <c r="K37"/>
  <c r="J37"/>
  <c r="I37"/>
  <c r="H37"/>
  <c r="G37"/>
  <c r="L36"/>
  <c r="K36"/>
  <c r="J36"/>
  <c r="I36"/>
  <c r="H36"/>
  <c r="G36"/>
  <c r="L35"/>
  <c r="K35"/>
  <c r="J35"/>
  <c r="I35"/>
  <c r="H35"/>
  <c r="G35"/>
  <c r="E42"/>
  <c r="D42"/>
  <c r="C42"/>
  <c r="E41"/>
  <c r="D41"/>
  <c r="C41"/>
  <c r="E40"/>
  <c r="D40"/>
  <c r="C40"/>
  <c r="E39"/>
  <c r="D39"/>
  <c r="C39"/>
  <c r="E38"/>
  <c r="D38"/>
  <c r="C38"/>
  <c r="E37"/>
  <c r="D37"/>
  <c r="C37"/>
  <c r="E36"/>
  <c r="D36"/>
  <c r="C36"/>
  <c r="E35"/>
  <c r="D35"/>
  <c r="C35"/>
  <c r="L33"/>
  <c r="K33"/>
  <c r="J33"/>
  <c r="I33"/>
  <c r="H33"/>
  <c r="G33"/>
  <c r="L32"/>
  <c r="K32"/>
  <c r="J32"/>
  <c r="I32"/>
  <c r="H32"/>
  <c r="G32"/>
  <c r="L31"/>
  <c r="K31"/>
  <c r="J31"/>
  <c r="I31"/>
  <c r="H31"/>
  <c r="G31"/>
  <c r="E33"/>
  <c r="D33"/>
  <c r="C33"/>
  <c r="E32"/>
  <c r="D32"/>
  <c r="C32"/>
  <c r="E31"/>
  <c r="D31"/>
  <c r="C31"/>
  <c r="L29"/>
  <c r="K29"/>
  <c r="J29"/>
  <c r="I29"/>
  <c r="H29"/>
  <c r="G29"/>
  <c r="L28"/>
  <c r="K28"/>
  <c r="J28"/>
  <c r="I28"/>
  <c r="H28"/>
  <c r="G28"/>
  <c r="E29"/>
  <c r="D29"/>
  <c r="C29"/>
  <c r="E28"/>
  <c r="D28"/>
  <c r="C28"/>
  <c r="L26"/>
  <c r="K26"/>
  <c r="J26"/>
  <c r="I26"/>
  <c r="H26"/>
  <c r="G26"/>
  <c r="L25"/>
  <c r="K25"/>
  <c r="J25"/>
  <c r="I25"/>
  <c r="H25"/>
  <c r="G25"/>
  <c r="L24"/>
  <c r="K24"/>
  <c r="J24"/>
  <c r="I24"/>
  <c r="H24"/>
  <c r="G24"/>
  <c r="L23"/>
  <c r="K23"/>
  <c r="J23"/>
  <c r="I23"/>
  <c r="H23"/>
  <c r="G23"/>
  <c r="L22"/>
  <c r="K22"/>
  <c r="J22"/>
  <c r="I22"/>
  <c r="H22"/>
  <c r="G22"/>
  <c r="L21"/>
  <c r="K21"/>
  <c r="J21"/>
  <c r="I21"/>
  <c r="H21"/>
  <c r="G21"/>
  <c r="L20"/>
  <c r="K20"/>
  <c r="J20"/>
  <c r="I20"/>
  <c r="H20"/>
  <c r="G20"/>
  <c r="L19"/>
  <c r="K19"/>
  <c r="J19"/>
  <c r="I19"/>
  <c r="H19"/>
  <c r="G19"/>
  <c r="L18"/>
  <c r="K18"/>
  <c r="J18"/>
  <c r="I18"/>
  <c r="H18"/>
  <c r="G18"/>
  <c r="E26"/>
  <c r="D26"/>
  <c r="C26"/>
  <c r="E25"/>
  <c r="D25"/>
  <c r="C25"/>
  <c r="E24"/>
  <c r="D24"/>
  <c r="C24"/>
  <c r="E23"/>
  <c r="D23"/>
  <c r="C23"/>
  <c r="E22"/>
  <c r="D22"/>
  <c r="C22"/>
  <c r="E21"/>
  <c r="D21"/>
  <c r="C21"/>
  <c r="E20"/>
  <c r="D20"/>
  <c r="C20"/>
  <c r="E19"/>
  <c r="D19"/>
  <c r="C19"/>
  <c r="E18"/>
  <c r="D18"/>
  <c r="C18"/>
  <c r="M122" i="1"/>
  <c r="O122"/>
  <c r="R122"/>
  <c r="M121"/>
  <c r="M120"/>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I130" s="1"/>
  <c r="D130"/>
  <c r="C130"/>
  <c r="B130"/>
  <c r="U129"/>
  <c r="Q129"/>
  <c r="N129"/>
  <c r="M129"/>
  <c r="J129"/>
  <c r="H129"/>
  <c r="G129"/>
  <c r="F129"/>
  <c r="E129"/>
  <c r="I129" s="1"/>
  <c r="D129"/>
  <c r="C129"/>
  <c r="B129"/>
  <c r="U128"/>
  <c r="Q128"/>
  <c r="N128"/>
  <c r="M128"/>
  <c r="J128"/>
  <c r="H128"/>
  <c r="H131" s="1"/>
  <c r="G128"/>
  <c r="G131" s="1"/>
  <c r="F128"/>
  <c r="F131" s="1"/>
  <c r="E128"/>
  <c r="E131" s="1"/>
  <c r="D128"/>
  <c r="D131" s="1"/>
  <c r="C128"/>
  <c r="C131" s="1"/>
  <c r="B128"/>
  <c r="R127"/>
  <c r="Q127"/>
  <c r="P127"/>
  <c r="O127"/>
  <c r="N127"/>
  <c r="M127"/>
  <c r="L127"/>
  <c r="K127"/>
  <c r="J127"/>
  <c r="I127"/>
  <c r="H127"/>
  <c r="G127"/>
  <c r="F127"/>
  <c r="E127"/>
  <c r="D127"/>
  <c r="C127"/>
  <c r="B127"/>
  <c r="S126"/>
  <c r="J126"/>
  <c r="C126"/>
  <c r="W125"/>
  <c r="U125"/>
  <c r="C125"/>
  <c r="B125"/>
  <c r="W124"/>
  <c r="S124"/>
  <c r="B124"/>
  <c r="B122"/>
  <c r="S121"/>
  <c r="R121"/>
  <c r="Q121"/>
  <c r="P121"/>
  <c r="T121" s="1"/>
  <c r="O121"/>
  <c r="N121"/>
  <c r="L121"/>
  <c r="K121"/>
  <c r="J121"/>
  <c r="I121"/>
  <c r="M121" s="1"/>
  <c r="H121"/>
  <c r="G121"/>
  <c r="B121"/>
  <c r="S120"/>
  <c r="R120"/>
  <c r="Q120"/>
  <c r="P120"/>
  <c r="T120" s="1"/>
  <c r="O120"/>
  <c r="N120"/>
  <c r="L120"/>
  <c r="K120"/>
  <c r="J120"/>
  <c r="I120"/>
  <c r="M120" s="1"/>
  <c r="H120"/>
  <c r="G120"/>
  <c r="B120"/>
  <c r="S119"/>
  <c r="R119"/>
  <c r="Q119"/>
  <c r="P119"/>
  <c r="T119" s="1"/>
  <c r="O119"/>
  <c r="N119"/>
  <c r="L119"/>
  <c r="K119"/>
  <c r="J119"/>
  <c r="I119"/>
  <c r="M119" s="1"/>
  <c r="H119"/>
  <c r="G119"/>
  <c r="B119"/>
  <c r="S118"/>
  <c r="R118"/>
  <c r="Q118"/>
  <c r="P118"/>
  <c r="T118" s="1"/>
  <c r="O118"/>
  <c r="N118"/>
  <c r="L118"/>
  <c r="K118"/>
  <c r="J118"/>
  <c r="I118"/>
  <c r="M118" s="1"/>
  <c r="H118"/>
  <c r="G118"/>
  <c r="B118"/>
  <c r="S117"/>
  <c r="R117"/>
  <c r="Q117"/>
  <c r="P117"/>
  <c r="T117" s="1"/>
  <c r="O117"/>
  <c r="N117"/>
  <c r="L117"/>
  <c r="K117"/>
  <c r="J117"/>
  <c r="I117"/>
  <c r="M117" s="1"/>
  <c r="H117"/>
  <c r="G117"/>
  <c r="B117"/>
  <c r="S116"/>
  <c r="R116"/>
  <c r="Q116"/>
  <c r="P116"/>
  <c r="T116" s="1"/>
  <c r="O116"/>
  <c r="N116"/>
  <c r="L116"/>
  <c r="K116"/>
  <c r="J116"/>
  <c r="I116"/>
  <c r="M116" s="1"/>
  <c r="H116"/>
  <c r="G116"/>
  <c r="B116"/>
  <c r="S115"/>
  <c r="R115"/>
  <c r="Q115"/>
  <c r="P115"/>
  <c r="T115" s="1"/>
  <c r="O115"/>
  <c r="N115"/>
  <c r="L115"/>
  <c r="K115"/>
  <c r="J115"/>
  <c r="I115"/>
  <c r="M115" s="1"/>
  <c r="H115"/>
  <c r="G115"/>
  <c r="B115"/>
  <c r="S114"/>
  <c r="R114"/>
  <c r="Q114"/>
  <c r="P114"/>
  <c r="T114" s="1"/>
  <c r="O114"/>
  <c r="N114"/>
  <c r="L114"/>
  <c r="K114"/>
  <c r="J114"/>
  <c r="I114"/>
  <c r="M114" s="1"/>
  <c r="H114"/>
  <c r="G114"/>
  <c r="B114"/>
  <c r="S113"/>
  <c r="R113"/>
  <c r="Q113"/>
  <c r="P113"/>
  <c r="T113" s="1"/>
  <c r="O113"/>
  <c r="N113"/>
  <c r="L113"/>
  <c r="K113"/>
  <c r="K108" s="1"/>
  <c r="J113"/>
  <c r="I113"/>
  <c r="M113" s="1"/>
  <c r="H113"/>
  <c r="G113"/>
  <c r="B113"/>
  <c r="S112"/>
  <c r="R112"/>
  <c r="Q112"/>
  <c r="P112"/>
  <c r="T112" s="1"/>
  <c r="O112"/>
  <c r="N112"/>
  <c r="L112"/>
  <c r="K112"/>
  <c r="J112"/>
  <c r="I112"/>
  <c r="M112" s="1"/>
  <c r="H112"/>
  <c r="G112"/>
  <c r="B112"/>
  <c r="S111"/>
  <c r="R111"/>
  <c r="Q111"/>
  <c r="P111"/>
  <c r="T111" s="1"/>
  <c r="O111"/>
  <c r="N111"/>
  <c r="L111"/>
  <c r="K111"/>
  <c r="J111"/>
  <c r="I111"/>
  <c r="M111" s="1"/>
  <c r="H111"/>
  <c r="G111"/>
  <c r="B111"/>
  <c r="S110"/>
  <c r="R110"/>
  <c r="Q110"/>
  <c r="P110"/>
  <c r="T110" s="1"/>
  <c r="O110"/>
  <c r="N110"/>
  <c r="L110"/>
  <c r="K110"/>
  <c r="J110"/>
  <c r="I110"/>
  <c r="M110" s="1"/>
  <c r="H110"/>
  <c r="G110"/>
  <c r="B110"/>
  <c r="S109"/>
  <c r="R109"/>
  <c r="Q109"/>
  <c r="P109"/>
  <c r="T109" s="1"/>
  <c r="O109"/>
  <c r="N109"/>
  <c r="L109"/>
  <c r="K109"/>
  <c r="J109"/>
  <c r="I109"/>
  <c r="M109" s="1"/>
  <c r="H109"/>
  <c r="G109"/>
  <c r="B109"/>
  <c r="S108"/>
  <c r="R108"/>
  <c r="Q108"/>
  <c r="P108"/>
  <c r="T108" s="1"/>
  <c r="O108"/>
  <c r="N108"/>
  <c r="L108"/>
  <c r="J108"/>
  <c r="I108"/>
  <c r="M108" s="1"/>
  <c r="H108"/>
  <c r="G108"/>
  <c r="B108"/>
  <c r="S107"/>
  <c r="R107"/>
  <c r="Q107"/>
  <c r="P107"/>
  <c r="T107" s="1"/>
  <c r="O107"/>
  <c r="N107"/>
  <c r="L107"/>
  <c r="K107"/>
  <c r="J107"/>
  <c r="I107"/>
  <c r="M107" s="1"/>
  <c r="H107"/>
  <c r="G107"/>
  <c r="B107"/>
  <c r="S106"/>
  <c r="R106"/>
  <c r="Q106"/>
  <c r="T106" s="1"/>
  <c r="P106"/>
  <c r="O106"/>
  <c r="N106"/>
  <c r="L106"/>
  <c r="K106"/>
  <c r="J106"/>
  <c r="I106"/>
  <c r="M106" s="1"/>
  <c r="H106"/>
  <c r="G106"/>
  <c r="B106"/>
  <c r="S105"/>
  <c r="R105"/>
  <c r="Q105"/>
  <c r="P105"/>
  <c r="T105" s="1"/>
  <c r="O105"/>
  <c r="N105"/>
  <c r="L105"/>
  <c r="K105"/>
  <c r="J105"/>
  <c r="I105"/>
  <c r="M105" s="1"/>
  <c r="H105"/>
  <c r="G105"/>
  <c r="B105"/>
  <c r="S104"/>
  <c r="R104"/>
  <c r="Q104"/>
  <c r="P104"/>
  <c r="T104" s="1"/>
  <c r="O104"/>
  <c r="N104"/>
  <c r="L104"/>
  <c r="K104"/>
  <c r="J104"/>
  <c r="I104"/>
  <c r="M104" s="1"/>
  <c r="H104"/>
  <c r="G104"/>
  <c r="B104"/>
  <c r="S103"/>
  <c r="R103"/>
  <c r="Q103"/>
  <c r="P103"/>
  <c r="T103" s="1"/>
  <c r="O103"/>
  <c r="N103"/>
  <c r="L103"/>
  <c r="K103"/>
  <c r="J103"/>
  <c r="I103"/>
  <c r="M103" s="1"/>
  <c r="H103"/>
  <c r="G103"/>
  <c r="B103"/>
  <c r="S102"/>
  <c r="R102"/>
  <c r="Q102"/>
  <c r="T102" s="1"/>
  <c r="P102"/>
  <c r="O102"/>
  <c r="N102"/>
  <c r="L102"/>
  <c r="K102"/>
  <c r="J102"/>
  <c r="I102"/>
  <c r="M102" s="1"/>
  <c r="H102"/>
  <c r="G102"/>
  <c r="B102"/>
  <c r="S101"/>
  <c r="R101"/>
  <c r="Q101"/>
  <c r="P101"/>
  <c r="T101" s="1"/>
  <c r="O101"/>
  <c r="N101"/>
  <c r="L101"/>
  <c r="K101"/>
  <c r="J101"/>
  <c r="I101"/>
  <c r="M101" s="1"/>
  <c r="H101"/>
  <c r="G101"/>
  <c r="B101"/>
  <c r="S100"/>
  <c r="R100"/>
  <c r="Q100"/>
  <c r="P100"/>
  <c r="T100" s="1"/>
  <c r="O100"/>
  <c r="N100"/>
  <c r="L100"/>
  <c r="K100"/>
  <c r="J100"/>
  <c r="I100"/>
  <c r="M100" s="1"/>
  <c r="H100"/>
  <c r="G100"/>
  <c r="B100"/>
  <c r="S99"/>
  <c r="R99"/>
  <c r="Q99"/>
  <c r="P99"/>
  <c r="T99" s="1"/>
  <c r="O99"/>
  <c r="N99"/>
  <c r="L99"/>
  <c r="K99"/>
  <c r="J99"/>
  <c r="I99"/>
  <c r="M99" s="1"/>
  <c r="H99"/>
  <c r="G99"/>
  <c r="B99"/>
  <c r="S98"/>
  <c r="R98"/>
  <c r="Q98"/>
  <c r="P98"/>
  <c r="T98" s="1"/>
  <c r="O98"/>
  <c r="N98"/>
  <c r="L98"/>
  <c r="K98"/>
  <c r="J98"/>
  <c r="I98"/>
  <c r="M98" s="1"/>
  <c r="H98"/>
  <c r="G98"/>
  <c r="B98"/>
  <c r="S97"/>
  <c r="R97"/>
  <c r="Q97"/>
  <c r="P97"/>
  <c r="T97" s="1"/>
  <c r="O97"/>
  <c r="N97"/>
  <c r="L97"/>
  <c r="K97"/>
  <c r="J97"/>
  <c r="I97"/>
  <c r="M97" s="1"/>
  <c r="H97"/>
  <c r="G97"/>
  <c r="B97"/>
  <c r="S96"/>
  <c r="R96"/>
  <c r="Q96"/>
  <c r="P96"/>
  <c r="T96" s="1"/>
  <c r="O96"/>
  <c r="N96"/>
  <c r="L96"/>
  <c r="K96"/>
  <c r="J96"/>
  <c r="I96"/>
  <c r="M96" s="1"/>
  <c r="H96"/>
  <c r="G96"/>
  <c r="B96"/>
  <c r="S95"/>
  <c r="R95"/>
  <c r="Q95"/>
  <c r="P95"/>
  <c r="T95" s="1"/>
  <c r="O95"/>
  <c r="N95"/>
  <c r="L95"/>
  <c r="K95"/>
  <c r="J95"/>
  <c r="I95"/>
  <c r="M95" s="1"/>
  <c r="H95"/>
  <c r="G95"/>
  <c r="B95"/>
  <c r="S94"/>
  <c r="R94"/>
  <c r="Q94"/>
  <c r="P94"/>
  <c r="T94" s="1"/>
  <c r="O94"/>
  <c r="N94"/>
  <c r="L94"/>
  <c r="K94"/>
  <c r="J94"/>
  <c r="I94"/>
  <c r="M94" s="1"/>
  <c r="H94"/>
  <c r="G94"/>
  <c r="B94"/>
  <c r="S93"/>
  <c r="R93"/>
  <c r="Q93"/>
  <c r="P93"/>
  <c r="T93" s="1"/>
  <c r="O93"/>
  <c r="N93"/>
  <c r="L93"/>
  <c r="K93"/>
  <c r="J93"/>
  <c r="I93"/>
  <c r="M93" s="1"/>
  <c r="H93"/>
  <c r="G93"/>
  <c r="B93"/>
  <c r="S92"/>
  <c r="R92"/>
  <c r="Q92"/>
  <c r="P92"/>
  <c r="T92" s="1"/>
  <c r="O92"/>
  <c r="N92"/>
  <c r="L92"/>
  <c r="K92"/>
  <c r="J92"/>
  <c r="I92"/>
  <c r="M92" s="1"/>
  <c r="H92"/>
  <c r="G92"/>
  <c r="B92"/>
  <c r="S91"/>
  <c r="S122" s="1"/>
  <c r="R91"/>
  <c r="R122" s="1"/>
  <c r="Q91"/>
  <c r="Q122" s="1"/>
  <c r="P91"/>
  <c r="T91" s="1"/>
  <c r="O91"/>
  <c r="O122" s="1"/>
  <c r="N91"/>
  <c r="N122" s="1"/>
  <c r="L91"/>
  <c r="L122" s="1"/>
  <c r="K91"/>
  <c r="K122" s="1"/>
  <c r="J91"/>
  <c r="J122" s="1"/>
  <c r="I91"/>
  <c r="I122" s="1"/>
  <c r="H91"/>
  <c r="H122" s="1"/>
  <c r="G91"/>
  <c r="G122" s="1"/>
  <c r="M122" s="1"/>
  <c r="B91"/>
  <c r="T90"/>
  <c r="S90"/>
  <c r="R90"/>
  <c r="Q90"/>
  <c r="P90"/>
  <c r="O90"/>
  <c r="N90"/>
  <c r="M90"/>
  <c r="L90"/>
  <c r="K90"/>
  <c r="J90"/>
  <c r="I90"/>
  <c r="H90"/>
  <c r="G90"/>
  <c r="F90"/>
  <c r="E90"/>
  <c r="D90"/>
  <c r="C90"/>
  <c r="B90"/>
  <c r="U89"/>
  <c r="N89"/>
  <c r="G89"/>
  <c r="C89"/>
  <c r="C88"/>
  <c r="B88"/>
  <c r="U87"/>
  <c r="B87"/>
  <c r="B86"/>
  <c r="N84"/>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S76"/>
  <c r="S137" s="1"/>
  <c r="B76"/>
  <c r="X75"/>
  <c r="W75"/>
  <c r="V75"/>
  <c r="U75"/>
  <c r="T75"/>
  <c r="S75"/>
  <c r="R75"/>
  <c r="Q75"/>
  <c r="P75"/>
  <c r="O75"/>
  <c r="N75"/>
  <c r="M75"/>
  <c r="L75"/>
  <c r="K75"/>
  <c r="J75"/>
  <c r="I75"/>
  <c r="H75"/>
  <c r="G75"/>
  <c r="F75"/>
  <c r="E75"/>
  <c r="D75"/>
  <c r="C75"/>
  <c r="Y74"/>
  <c r="X74"/>
  <c r="W74"/>
  <c r="S74"/>
  <c r="J74"/>
  <c r="C74"/>
  <c r="C73"/>
  <c r="B73"/>
  <c r="Y72"/>
  <c r="B72"/>
  <c r="H70"/>
  <c r="G70"/>
  <c r="F70"/>
  <c r="E70"/>
  <c r="D70"/>
  <c r="C70"/>
  <c r="B70"/>
  <c r="Q69"/>
  <c r="Q130" s="1"/>
  <c r="P69"/>
  <c r="P130" s="1"/>
  <c r="O69"/>
  <c r="O130" s="1"/>
  <c r="N69"/>
  <c r="N130" s="1"/>
  <c r="M69"/>
  <c r="M84" s="1"/>
  <c r="L69"/>
  <c r="L130" s="1"/>
  <c r="K69"/>
  <c r="K130" s="1"/>
  <c r="J69"/>
  <c r="J130" s="1"/>
  <c r="I69"/>
  <c r="B69"/>
  <c r="Q68"/>
  <c r="Q70" s="1"/>
  <c r="Q76" s="1"/>
  <c r="Q137" s="1"/>
  <c r="P68"/>
  <c r="P83" s="1"/>
  <c r="O68"/>
  <c r="O129" s="1"/>
  <c r="N68"/>
  <c r="M68"/>
  <c r="M83" s="1"/>
  <c r="L68"/>
  <c r="L83" s="1"/>
  <c r="K68"/>
  <c r="K129" s="1"/>
  <c r="J68"/>
  <c r="J83" s="1"/>
  <c r="I68"/>
  <c r="I83" s="1"/>
  <c r="B68"/>
  <c r="Q67"/>
  <c r="P67"/>
  <c r="P82" s="1"/>
  <c r="O67"/>
  <c r="O128" s="1"/>
  <c r="O131" s="1"/>
  <c r="N67"/>
  <c r="N82" s="1"/>
  <c r="M67"/>
  <c r="M82" s="1"/>
  <c r="L67"/>
  <c r="K67"/>
  <c r="K128" s="1"/>
  <c r="K131" s="1"/>
  <c r="J67"/>
  <c r="J82" s="1"/>
  <c r="I67"/>
  <c r="B67"/>
  <c r="R66"/>
  <c r="Q66"/>
  <c r="P66"/>
  <c r="O66"/>
  <c r="N66"/>
  <c r="M66"/>
  <c r="L66"/>
  <c r="K66"/>
  <c r="J66"/>
  <c r="I66"/>
  <c r="H66"/>
  <c r="G66"/>
  <c r="F66"/>
  <c r="E66"/>
  <c r="D66"/>
  <c r="C66"/>
  <c r="B66"/>
  <c r="S65"/>
  <c r="J65"/>
  <c r="C65"/>
  <c r="T64"/>
  <c r="C64"/>
  <c r="B64"/>
  <c r="T63"/>
  <c r="B63"/>
  <c r="Z61"/>
  <c r="Y61"/>
  <c r="X61"/>
  <c r="W61"/>
  <c r="U61"/>
  <c r="T61"/>
  <c r="Q61"/>
  <c r="P61"/>
  <c r="O61"/>
  <c r="N61"/>
  <c r="M61"/>
  <c r="L61"/>
  <c r="K61"/>
  <c r="J61"/>
  <c r="H61"/>
  <c r="G61"/>
  <c r="F61"/>
  <c r="E61"/>
  <c r="D61"/>
  <c r="C61"/>
  <c r="B61"/>
  <c r="AB60"/>
  <c r="AA60"/>
  <c r="V60"/>
  <c r="S60"/>
  <c r="W130" s="1"/>
  <c r="X137" s="1"/>
  <c r="R60"/>
  <c r="I60"/>
  <c r="B60"/>
  <c r="AB59"/>
  <c r="AA59"/>
  <c r="V59"/>
  <c r="S59"/>
  <c r="AC59" s="1"/>
  <c r="AD59" s="1"/>
  <c r="R59"/>
  <c r="R61" s="1"/>
  <c r="I59"/>
  <c r="B59"/>
  <c r="AA58"/>
  <c r="V58"/>
  <c r="V61" s="1"/>
  <c r="R58"/>
  <c r="I58"/>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M52" s="1"/>
  <c r="H52"/>
  <c r="G52"/>
  <c r="F52"/>
  <c r="E52"/>
  <c r="D52"/>
  <c r="C52"/>
  <c r="B52"/>
  <c r="T51"/>
  <c r="M51"/>
  <c r="F51"/>
  <c r="U51" s="1"/>
  <c r="B51"/>
  <c r="T50"/>
  <c r="M50"/>
  <c r="F50"/>
  <c r="B50"/>
  <c r="T49"/>
  <c r="M49"/>
  <c r="F49"/>
  <c r="B49"/>
  <c r="Q48"/>
  <c r="I48"/>
  <c r="E76" s="1"/>
  <c r="E137" s="1"/>
  <c r="E48"/>
  <c r="E92" s="1"/>
  <c r="B48"/>
  <c r="U47"/>
  <c r="T47"/>
  <c r="M47"/>
  <c r="F47"/>
  <c r="B47"/>
  <c r="T46"/>
  <c r="M46"/>
  <c r="F46"/>
  <c r="U46" s="1"/>
  <c r="B46"/>
  <c r="T45"/>
  <c r="M45"/>
  <c r="F45"/>
  <c r="B45"/>
  <c r="T44"/>
  <c r="M44"/>
  <c r="F44"/>
  <c r="B44"/>
  <c r="S43"/>
  <c r="R43"/>
  <c r="Q43"/>
  <c r="P43"/>
  <c r="T43" s="1"/>
  <c r="O43"/>
  <c r="N43"/>
  <c r="L43"/>
  <c r="K43"/>
  <c r="J43"/>
  <c r="I43"/>
  <c r="M43" s="1"/>
  <c r="H43"/>
  <c r="G43"/>
  <c r="E43"/>
  <c r="D43"/>
  <c r="C43"/>
  <c r="F43" s="1"/>
  <c r="B43"/>
  <c r="U42"/>
  <c r="T42"/>
  <c r="M42"/>
  <c r="F42"/>
  <c r="B42"/>
  <c r="T41"/>
  <c r="M41"/>
  <c r="F41"/>
  <c r="U41" s="1"/>
  <c r="B41"/>
  <c r="T40"/>
  <c r="M40"/>
  <c r="F40"/>
  <c r="U40" s="1"/>
  <c r="B40"/>
  <c r="T39"/>
  <c r="M39"/>
  <c r="F39"/>
  <c r="U39" s="1"/>
  <c r="B39"/>
  <c r="U38"/>
  <c r="T38"/>
  <c r="M38"/>
  <c r="F38"/>
  <c r="B38"/>
  <c r="T37"/>
  <c r="M37"/>
  <c r="F37"/>
  <c r="U37" s="1"/>
  <c r="B37"/>
  <c r="T36"/>
  <c r="M36"/>
  <c r="F36"/>
  <c r="B36"/>
  <c r="T35"/>
  <c r="M35"/>
  <c r="F35"/>
  <c r="B35"/>
  <c r="S34"/>
  <c r="R34"/>
  <c r="Q34"/>
  <c r="P34"/>
  <c r="T34" s="1"/>
  <c r="O34"/>
  <c r="N34"/>
  <c r="L34"/>
  <c r="K34"/>
  <c r="J34"/>
  <c r="I34"/>
  <c r="M34" s="1"/>
  <c r="H34"/>
  <c r="G34"/>
  <c r="E34"/>
  <c r="D34"/>
  <c r="C34"/>
  <c r="F34" s="1"/>
  <c r="B34"/>
  <c r="U33"/>
  <c r="T33"/>
  <c r="M33"/>
  <c r="F33"/>
  <c r="B33"/>
  <c r="T32"/>
  <c r="M32"/>
  <c r="F32"/>
  <c r="U32" s="1"/>
  <c r="B32"/>
  <c r="T31"/>
  <c r="M31"/>
  <c r="F31"/>
  <c r="U31" s="1"/>
  <c r="B31"/>
  <c r="S30"/>
  <c r="R30"/>
  <c r="Q30"/>
  <c r="P30"/>
  <c r="P48" s="1"/>
  <c r="O30"/>
  <c r="N30"/>
  <c r="L30"/>
  <c r="L48" s="1"/>
  <c r="H76" s="1"/>
  <c r="H137" s="1"/>
  <c r="K30"/>
  <c r="J30"/>
  <c r="I30"/>
  <c r="H30"/>
  <c r="H48" s="1"/>
  <c r="D76" s="1"/>
  <c r="D137" s="1"/>
  <c r="G30"/>
  <c r="E30"/>
  <c r="D30"/>
  <c r="D48" s="1"/>
  <c r="C30"/>
  <c r="B30"/>
  <c r="T29"/>
  <c r="M29"/>
  <c r="F29"/>
  <c r="B29"/>
  <c r="U28"/>
  <c r="T28"/>
  <c r="M28"/>
  <c r="F28"/>
  <c r="B28"/>
  <c r="S27"/>
  <c r="R27"/>
  <c r="Q27"/>
  <c r="P27"/>
  <c r="O27"/>
  <c r="N27"/>
  <c r="T27" s="1"/>
  <c r="L27"/>
  <c r="K27"/>
  <c r="J27"/>
  <c r="I27"/>
  <c r="H27"/>
  <c r="G27"/>
  <c r="F27"/>
  <c r="E27"/>
  <c r="D27"/>
  <c r="C27"/>
  <c r="B27"/>
  <c r="T26"/>
  <c r="M26"/>
  <c r="F26"/>
  <c r="U26" s="1"/>
  <c r="B26"/>
  <c r="T25"/>
  <c r="M25"/>
  <c r="F25"/>
  <c r="U25" s="1"/>
  <c r="B25"/>
  <c r="T24"/>
  <c r="M24"/>
  <c r="F24"/>
  <c r="U24" s="1"/>
  <c r="B24"/>
  <c r="U23"/>
  <c r="T23"/>
  <c r="M23"/>
  <c r="F23"/>
  <c r="B23"/>
  <c r="T22"/>
  <c r="M22"/>
  <c r="F22"/>
  <c r="U22" s="1"/>
  <c r="B22"/>
  <c r="T21"/>
  <c r="M21"/>
  <c r="F21"/>
  <c r="U21" s="1"/>
  <c r="B21"/>
  <c r="T20"/>
  <c r="M20"/>
  <c r="F20"/>
  <c r="U20" s="1"/>
  <c r="B20"/>
  <c r="U19"/>
  <c r="T19"/>
  <c r="M19"/>
  <c r="F19"/>
  <c r="B19"/>
  <c r="T18"/>
  <c r="M18"/>
  <c r="F18"/>
  <c r="U18" s="1"/>
  <c r="B18"/>
  <c r="S17"/>
  <c r="S48" s="1"/>
  <c r="R17"/>
  <c r="R48" s="1"/>
  <c r="Q17"/>
  <c r="P17"/>
  <c r="O17"/>
  <c r="O48" s="1"/>
  <c r="N17"/>
  <c r="N48" s="1"/>
  <c r="L17"/>
  <c r="K17"/>
  <c r="K48" s="1"/>
  <c r="J17"/>
  <c r="I17"/>
  <c r="H17"/>
  <c r="G17"/>
  <c r="E17"/>
  <c r="D17"/>
  <c r="C17"/>
  <c r="B17"/>
  <c r="T16"/>
  <c r="S16"/>
  <c r="R16"/>
  <c r="Q16"/>
  <c r="P16"/>
  <c r="O16"/>
  <c r="N16"/>
  <c r="M16"/>
  <c r="L16"/>
  <c r="K16"/>
  <c r="J16"/>
  <c r="I16"/>
  <c r="H16"/>
  <c r="G16"/>
  <c r="F16"/>
  <c r="E16"/>
  <c r="D16"/>
  <c r="C16"/>
  <c r="B16"/>
  <c r="U15"/>
  <c r="N15"/>
  <c r="G15"/>
  <c r="C15"/>
  <c r="C14"/>
  <c r="B14"/>
  <c r="U13"/>
  <c r="B13"/>
  <c r="B12"/>
  <c r="C10"/>
  <c r="B10"/>
  <c r="E8"/>
  <c r="B8"/>
  <c r="B7"/>
  <c r="S6"/>
  <c r="A4"/>
  <c r="T2"/>
  <c r="J2"/>
  <c r="I2"/>
  <c r="A1"/>
  <c r="J112" i="1"/>
  <c r="U34" i="9" l="1"/>
  <c r="U43"/>
  <c r="D102"/>
  <c r="D99"/>
  <c r="D98"/>
  <c r="D97"/>
  <c r="D96"/>
  <c r="D121"/>
  <c r="D120"/>
  <c r="D119"/>
  <c r="D118"/>
  <c r="D116"/>
  <c r="D115"/>
  <c r="D114"/>
  <c r="D113"/>
  <c r="D112"/>
  <c r="D111"/>
  <c r="D110"/>
  <c r="D109"/>
  <c r="D107"/>
  <c r="D106"/>
  <c r="D105"/>
  <c r="D103"/>
  <c r="D100"/>
  <c r="D95"/>
  <c r="D94"/>
  <c r="D93"/>
  <c r="D92"/>
  <c r="D91" s="1"/>
  <c r="C48"/>
  <c r="F17"/>
  <c r="G48"/>
  <c r="M17"/>
  <c r="I61"/>
  <c r="S58"/>
  <c r="S69"/>
  <c r="Q131"/>
  <c r="M27"/>
  <c r="U29"/>
  <c r="F30"/>
  <c r="U35"/>
  <c r="U36"/>
  <c r="U44"/>
  <c r="U45"/>
  <c r="O83"/>
  <c r="J84"/>
  <c r="T122"/>
  <c r="N131"/>
  <c r="G76"/>
  <c r="G137" s="1"/>
  <c r="M30"/>
  <c r="T30"/>
  <c r="U49"/>
  <c r="U50"/>
  <c r="I82"/>
  <c r="N70"/>
  <c r="N76" s="1"/>
  <c r="N137" s="1"/>
  <c r="O70"/>
  <c r="K83"/>
  <c r="M91"/>
  <c r="M131"/>
  <c r="T48"/>
  <c r="E120"/>
  <c r="E118"/>
  <c r="E116"/>
  <c r="E115"/>
  <c r="E113"/>
  <c r="E111"/>
  <c r="E107"/>
  <c r="E105"/>
  <c r="E103"/>
  <c r="E98"/>
  <c r="E96"/>
  <c r="E91" s="1"/>
  <c r="E94"/>
  <c r="E121"/>
  <c r="E119"/>
  <c r="E114"/>
  <c r="E112"/>
  <c r="E110"/>
  <c r="E109"/>
  <c r="E108" s="1"/>
  <c r="E106"/>
  <c r="E102"/>
  <c r="E100"/>
  <c r="E99"/>
  <c r="E97"/>
  <c r="E95"/>
  <c r="E93"/>
  <c r="AB58"/>
  <c r="AB61" s="1"/>
  <c r="AA61"/>
  <c r="L70"/>
  <c r="L76" s="1"/>
  <c r="L137" s="1"/>
  <c r="L128"/>
  <c r="P70"/>
  <c r="P76" s="1"/>
  <c r="P137" s="1"/>
  <c r="P128"/>
  <c r="P131" s="1"/>
  <c r="U27"/>
  <c r="J48"/>
  <c r="F76" s="1"/>
  <c r="F137" s="1"/>
  <c r="K76"/>
  <c r="K137" s="1"/>
  <c r="O76"/>
  <c r="O137" s="1"/>
  <c r="U52"/>
  <c r="AC60"/>
  <c r="AD60" s="1"/>
  <c r="R130"/>
  <c r="R69"/>
  <c r="R84" s="1"/>
  <c r="K70"/>
  <c r="L82"/>
  <c r="J131"/>
  <c r="S130"/>
  <c r="R128"/>
  <c r="R68"/>
  <c r="J70"/>
  <c r="J76" s="1"/>
  <c r="O82"/>
  <c r="N83"/>
  <c r="I84"/>
  <c r="P122"/>
  <c r="I128"/>
  <c r="W129"/>
  <c r="W137" s="1"/>
  <c r="M130"/>
  <c r="R67"/>
  <c r="I70"/>
  <c r="M70"/>
  <c r="M76" s="1"/>
  <c r="M137" s="1"/>
  <c r="V76"/>
  <c r="L84"/>
  <c r="P84"/>
  <c r="L129"/>
  <c r="R129" s="1"/>
  <c r="S129" s="1"/>
  <c r="P129"/>
  <c r="K82"/>
  <c r="T17"/>
  <c r="K84"/>
  <c r="O84"/>
  <c r="C52" i="8"/>
  <c r="R43"/>
  <c r="S43"/>
  <c r="N43"/>
  <c r="O43"/>
  <c r="G43"/>
  <c r="H43"/>
  <c r="I43"/>
  <c r="J43"/>
  <c r="K43"/>
  <c r="Q43"/>
  <c r="P43"/>
  <c r="N34"/>
  <c r="O34"/>
  <c r="P34"/>
  <c r="Q34"/>
  <c r="R34"/>
  <c r="S34"/>
  <c r="T29"/>
  <c r="M19"/>
  <c r="M20"/>
  <c r="M21"/>
  <c r="M22"/>
  <c r="M23"/>
  <c r="M24"/>
  <c r="M25"/>
  <c r="M26"/>
  <c r="M31"/>
  <c r="M32"/>
  <c r="M33"/>
  <c r="M28"/>
  <c r="M29"/>
  <c r="T42"/>
  <c r="T41"/>
  <c r="T40"/>
  <c r="T39"/>
  <c r="T38"/>
  <c r="T37"/>
  <c r="T36"/>
  <c r="T35"/>
  <c r="T33"/>
  <c r="T32"/>
  <c r="T31"/>
  <c r="T28"/>
  <c r="T20"/>
  <c r="T21"/>
  <c r="T22"/>
  <c r="T23"/>
  <c r="T24"/>
  <c r="T25"/>
  <c r="T26"/>
  <c r="J137" i="9" l="1"/>
  <c r="R137" s="1"/>
  <c r="R76"/>
  <c r="S128"/>
  <c r="S131" s="1"/>
  <c r="I131"/>
  <c r="F48"/>
  <c r="R83"/>
  <c r="S68"/>
  <c r="S61"/>
  <c r="AC58"/>
  <c r="E101"/>
  <c r="E122" s="1"/>
  <c r="E104"/>
  <c r="U17"/>
  <c r="D104"/>
  <c r="T69"/>
  <c r="S84"/>
  <c r="R82"/>
  <c r="R70"/>
  <c r="S67"/>
  <c r="C76"/>
  <c r="M48"/>
  <c r="E117"/>
  <c r="U30"/>
  <c r="R131"/>
  <c r="L131"/>
  <c r="D108"/>
  <c r="D117"/>
  <c r="D101"/>
  <c r="D122" s="1"/>
  <c r="S27" i="4"/>
  <c r="J21"/>
  <c r="J19"/>
  <c r="J18"/>
  <c r="G19"/>
  <c r="G17" s="1"/>
  <c r="G18"/>
  <c r="C17"/>
  <c r="D17"/>
  <c r="E17"/>
  <c r="H17"/>
  <c r="I17"/>
  <c r="K17"/>
  <c r="L17"/>
  <c r="N17"/>
  <c r="O17"/>
  <c r="P17"/>
  <c r="Q17"/>
  <c r="Q48" s="1"/>
  <c r="R17"/>
  <c r="S17"/>
  <c r="F18"/>
  <c r="M18"/>
  <c r="T18"/>
  <c r="F19"/>
  <c r="T19"/>
  <c r="F20"/>
  <c r="M20"/>
  <c r="T20"/>
  <c r="F21"/>
  <c r="U21" s="1"/>
  <c r="M21"/>
  <c r="T21"/>
  <c r="F22"/>
  <c r="U22" s="1"/>
  <c r="M22"/>
  <c r="T22"/>
  <c r="F23"/>
  <c r="M23"/>
  <c r="T23"/>
  <c r="F24"/>
  <c r="M24"/>
  <c r="T24"/>
  <c r="F25"/>
  <c r="M25"/>
  <c r="T25"/>
  <c r="F26"/>
  <c r="M26"/>
  <c r="T26"/>
  <c r="C27"/>
  <c r="D27"/>
  <c r="E27"/>
  <c r="G27"/>
  <c r="H27"/>
  <c r="I27"/>
  <c r="J27"/>
  <c r="K27"/>
  <c r="L27"/>
  <c r="N27"/>
  <c r="O27"/>
  <c r="P27"/>
  <c r="Q27"/>
  <c r="R27"/>
  <c r="F28"/>
  <c r="M28"/>
  <c r="U20"/>
  <c r="U23"/>
  <c r="U24"/>
  <c r="U25"/>
  <c r="U26"/>
  <c r="F29"/>
  <c r="M29"/>
  <c r="T29"/>
  <c r="C30"/>
  <c r="D30"/>
  <c r="E30"/>
  <c r="G30"/>
  <c r="H30"/>
  <c r="I30"/>
  <c r="J30"/>
  <c r="K30"/>
  <c r="L30"/>
  <c r="N30"/>
  <c r="O30"/>
  <c r="P30"/>
  <c r="Q30"/>
  <c r="R30"/>
  <c r="S30"/>
  <c r="F31"/>
  <c r="M31"/>
  <c r="T31"/>
  <c r="F32"/>
  <c r="M32"/>
  <c r="T32"/>
  <c r="F33"/>
  <c r="M33"/>
  <c r="T33"/>
  <c r="C34"/>
  <c r="D34"/>
  <c r="E34"/>
  <c r="G34"/>
  <c r="H34"/>
  <c r="I34"/>
  <c r="J34"/>
  <c r="K34"/>
  <c r="L34"/>
  <c r="N34"/>
  <c r="O34"/>
  <c r="P34"/>
  <c r="Q34"/>
  <c r="R34"/>
  <c r="S34"/>
  <c r="F35"/>
  <c r="M35"/>
  <c r="T35"/>
  <c r="F36"/>
  <c r="M36"/>
  <c r="T36"/>
  <c r="F37"/>
  <c r="M37"/>
  <c r="T37"/>
  <c r="F38"/>
  <c r="M38"/>
  <c r="T38"/>
  <c r="F39"/>
  <c r="M39"/>
  <c r="T39"/>
  <c r="F40"/>
  <c r="M40"/>
  <c r="T40"/>
  <c r="F41"/>
  <c r="M41"/>
  <c r="T41"/>
  <c r="F42"/>
  <c r="U42" s="1"/>
  <c r="M42"/>
  <c r="T42"/>
  <c r="C43"/>
  <c r="D43"/>
  <c r="E43"/>
  <c r="G43"/>
  <c r="H43"/>
  <c r="M43" s="1"/>
  <c r="I43"/>
  <c r="I48" s="1"/>
  <c r="J43"/>
  <c r="K43"/>
  <c r="L43"/>
  <c r="N43"/>
  <c r="O43"/>
  <c r="P43"/>
  <c r="Q43"/>
  <c r="R43"/>
  <c r="S43"/>
  <c r="T43" s="1"/>
  <c r="F44"/>
  <c r="M44"/>
  <c r="T44"/>
  <c r="U44"/>
  <c r="F45"/>
  <c r="M45"/>
  <c r="T45"/>
  <c r="U45" s="1"/>
  <c r="F46"/>
  <c r="M46"/>
  <c r="T46"/>
  <c r="U46" s="1"/>
  <c r="F47"/>
  <c r="M47"/>
  <c r="T47"/>
  <c r="U47" s="1"/>
  <c r="D48"/>
  <c r="E48"/>
  <c r="K48"/>
  <c r="L48"/>
  <c r="N48"/>
  <c r="O48"/>
  <c r="R48"/>
  <c r="F49"/>
  <c r="M49"/>
  <c r="T49"/>
  <c r="U49" s="1"/>
  <c r="I76" i="9" l="1"/>
  <c r="Y76" s="1"/>
  <c r="C137"/>
  <c r="I137" s="1"/>
  <c r="AC61"/>
  <c r="AD58"/>
  <c r="AD61" s="1"/>
  <c r="T68"/>
  <c r="S83"/>
  <c r="S82"/>
  <c r="S70"/>
  <c r="T70" s="1"/>
  <c r="T67"/>
  <c r="W128"/>
  <c r="U137" s="1"/>
  <c r="V137" s="1"/>
  <c r="C99"/>
  <c r="F99" s="1"/>
  <c r="U99" s="1"/>
  <c r="C105"/>
  <c r="C110"/>
  <c r="F110" s="1"/>
  <c r="U110" s="1"/>
  <c r="C119"/>
  <c r="F119" s="1"/>
  <c r="U119" s="1"/>
  <c r="C94"/>
  <c r="F94" s="1"/>
  <c r="U94" s="1"/>
  <c r="C98"/>
  <c r="F98" s="1"/>
  <c r="U98" s="1"/>
  <c r="C109"/>
  <c r="C113"/>
  <c r="F113" s="1"/>
  <c r="U113" s="1"/>
  <c r="C118"/>
  <c r="U48"/>
  <c r="C93"/>
  <c r="F93" s="1"/>
  <c r="U93" s="1"/>
  <c r="C97"/>
  <c r="F97" s="1"/>
  <c r="U97" s="1"/>
  <c r="C102"/>
  <c r="C112"/>
  <c r="F112" s="1"/>
  <c r="U112" s="1"/>
  <c r="C116"/>
  <c r="F116" s="1"/>
  <c r="U116" s="1"/>
  <c r="C121"/>
  <c r="F121" s="1"/>
  <c r="U121" s="1"/>
  <c r="M34" i="4"/>
  <c r="U33"/>
  <c r="G48"/>
  <c r="U31"/>
  <c r="T30"/>
  <c r="P48"/>
  <c r="U29"/>
  <c r="M19"/>
  <c r="U19" s="1"/>
  <c r="U18"/>
  <c r="U32"/>
  <c r="F34"/>
  <c r="C48"/>
  <c r="F48" s="1"/>
  <c r="F43"/>
  <c r="U43" s="1"/>
  <c r="F30"/>
  <c r="F17"/>
  <c r="F27"/>
  <c r="J17"/>
  <c r="J48" s="1"/>
  <c r="U40"/>
  <c r="U38"/>
  <c r="U36"/>
  <c r="T34"/>
  <c r="U41"/>
  <c r="U39"/>
  <c r="U37"/>
  <c r="U35"/>
  <c r="M30"/>
  <c r="H48"/>
  <c r="S48"/>
  <c r="T48" s="1"/>
  <c r="T27"/>
  <c r="T28"/>
  <c r="U28" s="1"/>
  <c r="M27"/>
  <c r="T17"/>
  <c r="F109" i="9" l="1"/>
  <c r="U109" s="1"/>
  <c r="F105"/>
  <c r="U105" s="1"/>
  <c r="F102"/>
  <c r="U102" s="1"/>
  <c r="F118"/>
  <c r="U118" s="1"/>
  <c r="C117"/>
  <c r="F117" s="1"/>
  <c r="U117" s="1"/>
  <c r="C120"/>
  <c r="F120" s="1"/>
  <c r="U120" s="1"/>
  <c r="C115"/>
  <c r="F115" s="1"/>
  <c r="U115" s="1"/>
  <c r="C111"/>
  <c r="F111" s="1"/>
  <c r="U111" s="1"/>
  <c r="C106"/>
  <c r="F106" s="1"/>
  <c r="U106" s="1"/>
  <c r="C100"/>
  <c r="F100" s="1"/>
  <c r="U100" s="1"/>
  <c r="C96"/>
  <c r="F96" s="1"/>
  <c r="U96" s="1"/>
  <c r="C92"/>
  <c r="Y137"/>
  <c r="C107"/>
  <c r="F107" s="1"/>
  <c r="U107" s="1"/>
  <c r="C103"/>
  <c r="F103" s="1"/>
  <c r="U103" s="1"/>
  <c r="C114"/>
  <c r="F114" s="1"/>
  <c r="U114" s="1"/>
  <c r="C95"/>
  <c r="F95" s="1"/>
  <c r="U95" s="1"/>
  <c r="U30" i="4"/>
  <c r="U34"/>
  <c r="U27"/>
  <c r="M17"/>
  <c r="M48"/>
  <c r="U48" s="1"/>
  <c r="U17"/>
  <c r="F92" i="9" l="1"/>
  <c r="U92" s="1"/>
  <c r="C91"/>
  <c r="C104"/>
  <c r="F104" s="1"/>
  <c r="U104" s="1"/>
  <c r="C101"/>
  <c r="F101" s="1"/>
  <c r="U101" s="1"/>
  <c r="C108"/>
  <c r="F108" s="1"/>
  <c r="U108" s="1"/>
  <c r="G112" i="1"/>
  <c r="H112"/>
  <c r="I112"/>
  <c r="L106"/>
  <c r="M106"/>
  <c r="L90"/>
  <c r="M90"/>
  <c r="L86"/>
  <c r="M86"/>
  <c r="L80"/>
  <c r="M80"/>
  <c r="L65"/>
  <c r="M65"/>
  <c r="L53"/>
  <c r="M53"/>
  <c r="L41"/>
  <c r="M41"/>
  <c r="L29"/>
  <c r="M29"/>
  <c r="L25"/>
  <c r="M25"/>
  <c r="L14"/>
  <c r="M14"/>
  <c r="K106"/>
  <c r="K90"/>
  <c r="K86"/>
  <c r="K80"/>
  <c r="K65"/>
  <c r="K53"/>
  <c r="K41"/>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S52"/>
  <c r="R52"/>
  <c r="Q52"/>
  <c r="P52"/>
  <c r="O52"/>
  <c r="N52"/>
  <c r="L52"/>
  <c r="K52"/>
  <c r="J52"/>
  <c r="I52"/>
  <c r="H52"/>
  <c r="G52"/>
  <c r="E52"/>
  <c r="D52"/>
  <c r="T51"/>
  <c r="M51"/>
  <c r="F51"/>
  <c r="T50"/>
  <c r="M50"/>
  <c r="F50"/>
  <c r="T49"/>
  <c r="M49"/>
  <c r="F49"/>
  <c r="T47"/>
  <c r="M47"/>
  <c r="F47"/>
  <c r="T46"/>
  <c r="M46"/>
  <c r="F46"/>
  <c r="T45"/>
  <c r="M45"/>
  <c r="F45"/>
  <c r="T44"/>
  <c r="M44"/>
  <c r="F44"/>
  <c r="L43"/>
  <c r="E43"/>
  <c r="D43"/>
  <c r="C43"/>
  <c r="M42"/>
  <c r="F42"/>
  <c r="M41"/>
  <c r="F41"/>
  <c r="M40"/>
  <c r="F40"/>
  <c r="M39"/>
  <c r="F39"/>
  <c r="M38"/>
  <c r="F38"/>
  <c r="M37"/>
  <c r="F37"/>
  <c r="M36"/>
  <c r="F36"/>
  <c r="M35"/>
  <c r="F35"/>
  <c r="L34"/>
  <c r="K34"/>
  <c r="J34"/>
  <c r="I34"/>
  <c r="H34"/>
  <c r="G34"/>
  <c r="E34"/>
  <c r="D34"/>
  <c r="C34"/>
  <c r="F33"/>
  <c r="U33" s="1"/>
  <c r="F32"/>
  <c r="U32" s="1"/>
  <c r="F31"/>
  <c r="U31" s="1"/>
  <c r="S30"/>
  <c r="R30"/>
  <c r="Q30"/>
  <c r="P30"/>
  <c r="O30"/>
  <c r="N30"/>
  <c r="L30"/>
  <c r="K30"/>
  <c r="J30"/>
  <c r="I30"/>
  <c r="H30"/>
  <c r="G30"/>
  <c r="E30"/>
  <c r="D30"/>
  <c r="C30"/>
  <c r="F29"/>
  <c r="U29" s="1"/>
  <c r="F28"/>
  <c r="U28" s="1"/>
  <c r="S27"/>
  <c r="R27"/>
  <c r="Q27"/>
  <c r="P27"/>
  <c r="O27"/>
  <c r="N27"/>
  <c r="L27"/>
  <c r="K27"/>
  <c r="J27"/>
  <c r="I27"/>
  <c r="H27"/>
  <c r="G27"/>
  <c r="E27"/>
  <c r="D27"/>
  <c r="C27"/>
  <c r="F26"/>
  <c r="F25"/>
  <c r="F24"/>
  <c r="F23"/>
  <c r="F22"/>
  <c r="F21"/>
  <c r="F20"/>
  <c r="T19"/>
  <c r="F19"/>
  <c r="T18"/>
  <c r="M18"/>
  <c r="F18"/>
  <c r="S17"/>
  <c r="R17"/>
  <c r="Q17"/>
  <c r="P17"/>
  <c r="O17"/>
  <c r="N17"/>
  <c r="L17"/>
  <c r="K17"/>
  <c r="J17"/>
  <c r="I17"/>
  <c r="H17"/>
  <c r="G17"/>
  <c r="G48" s="1"/>
  <c r="E17"/>
  <c r="D17"/>
  <c r="C17"/>
  <c r="T50" i="4"/>
  <c r="T51"/>
  <c r="M51"/>
  <c r="M50"/>
  <c r="F51"/>
  <c r="F50"/>
  <c r="J2" i="8"/>
  <c r="M7" i="3"/>
  <c r="G2" i="6"/>
  <c r="A6" i="2"/>
  <c r="A37" s="1"/>
  <c r="K7" i="3" s="1"/>
  <c r="E4" i="6"/>
  <c r="F4"/>
  <c r="G4"/>
  <c r="H4"/>
  <c r="I4"/>
  <c r="J4"/>
  <c r="K4"/>
  <c r="L4"/>
  <c r="M4"/>
  <c r="N4"/>
  <c r="D4"/>
  <c r="J48" i="8" l="1"/>
  <c r="F91" i="9"/>
  <c r="U91" s="1"/>
  <c r="C122"/>
  <c r="F122" s="1"/>
  <c r="U122" s="1"/>
  <c r="L112" i="1"/>
  <c r="M112"/>
  <c r="K112"/>
  <c r="I82" i="8"/>
  <c r="A88" i="2"/>
  <c r="A86"/>
  <c r="A89"/>
  <c r="A87"/>
  <c r="U25" i="8"/>
  <c r="U36"/>
  <c r="F76"/>
  <c r="S48"/>
  <c r="U19"/>
  <c r="U50"/>
  <c r="U51" i="4"/>
  <c r="T52" i="8"/>
  <c r="U21"/>
  <c r="U50" i="4"/>
  <c r="U23" i="8"/>
  <c r="U47"/>
  <c r="S58"/>
  <c r="U42"/>
  <c r="K48"/>
  <c r="G76" s="1"/>
  <c r="U45"/>
  <c r="E48"/>
  <c r="E120" s="1"/>
  <c r="A39" i="2"/>
  <c r="F27" i="8"/>
  <c r="V61"/>
  <c r="F52"/>
  <c r="U24"/>
  <c r="U26"/>
  <c r="T27"/>
  <c r="T30"/>
  <c r="U40"/>
  <c r="M17"/>
  <c r="N48"/>
  <c r="R48"/>
  <c r="I48"/>
  <c r="E76" s="1"/>
  <c r="E137" s="1"/>
  <c r="U39"/>
  <c r="U41"/>
  <c r="C76"/>
  <c r="S60"/>
  <c r="W130" s="1"/>
  <c r="X137" s="1"/>
  <c r="O70"/>
  <c r="M27"/>
  <c r="U38"/>
  <c r="U44"/>
  <c r="U46"/>
  <c r="U18"/>
  <c r="F30"/>
  <c r="F34"/>
  <c r="Q48"/>
  <c r="O48"/>
  <c r="U49"/>
  <c r="R61"/>
  <c r="L70"/>
  <c r="L82"/>
  <c r="V76"/>
  <c r="AB58"/>
  <c r="AB61" s="1"/>
  <c r="AA61"/>
  <c r="M34"/>
  <c r="M30"/>
  <c r="H48"/>
  <c r="U22"/>
  <c r="M43"/>
  <c r="P70"/>
  <c r="P76" s="1"/>
  <c r="P82"/>
  <c r="K83"/>
  <c r="O83"/>
  <c r="J82"/>
  <c r="J70"/>
  <c r="N82"/>
  <c r="N70"/>
  <c r="I83"/>
  <c r="I70"/>
  <c r="M83"/>
  <c r="M70"/>
  <c r="Q70"/>
  <c r="Q76" s="1"/>
  <c r="J84"/>
  <c r="N84"/>
  <c r="D48"/>
  <c r="T43"/>
  <c r="F17"/>
  <c r="L48"/>
  <c r="H76" s="1"/>
  <c r="P48"/>
  <c r="U37"/>
  <c r="M52"/>
  <c r="I61"/>
  <c r="R67"/>
  <c r="S67" s="1"/>
  <c r="U20"/>
  <c r="T34"/>
  <c r="U35"/>
  <c r="F43"/>
  <c r="C48"/>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O76" i="8" l="1"/>
  <c r="D76"/>
  <c r="I76" s="1"/>
  <c r="M48"/>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F48"/>
  <c r="D121"/>
  <c r="D120"/>
  <c r="D119"/>
  <c r="D118"/>
  <c r="D116"/>
  <c r="D115"/>
  <c r="D114"/>
  <c r="D113"/>
  <c r="D112"/>
  <c r="D111"/>
  <c r="D110"/>
  <c r="D109"/>
  <c r="D107"/>
  <c r="D106"/>
  <c r="D105"/>
  <c r="D103"/>
  <c r="D102"/>
  <c r="D100"/>
  <c r="D99"/>
  <c r="D98"/>
  <c r="D97"/>
  <c r="D96"/>
  <c r="D95"/>
  <c r="D94"/>
  <c r="D93"/>
  <c r="D92"/>
  <c r="R82"/>
  <c r="R70"/>
  <c r="T48"/>
  <c r="S78" i="4"/>
  <c r="B7"/>
  <c r="B12"/>
  <c r="AA60"/>
  <c r="AA59"/>
  <c r="X76"/>
  <c r="W76"/>
  <c r="AD58" i="8" l="1"/>
  <c r="AD61" s="1"/>
  <c r="E104"/>
  <c r="E108"/>
  <c r="E91"/>
  <c r="E117"/>
  <c r="R76"/>
  <c r="Y76" s="1"/>
  <c r="D108"/>
  <c r="D117"/>
  <c r="T68"/>
  <c r="S83"/>
  <c r="T69"/>
  <c r="S84"/>
  <c r="D101"/>
  <c r="AC61"/>
  <c r="D104"/>
  <c r="D91"/>
  <c r="U48"/>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D52" l="1"/>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J104"/>
  <c r="J97"/>
  <c r="S131" i="8"/>
  <c r="M122"/>
  <c r="T122"/>
  <c r="S131" i="4"/>
  <c r="T92"/>
  <c r="Q117"/>
  <c r="M92"/>
  <c r="Q108"/>
  <c r="T120"/>
  <c r="M93"/>
  <c r="T121"/>
  <c r="T95"/>
  <c r="T93"/>
  <c r="M120"/>
  <c r="M121"/>
  <c r="C95" i="8" l="1"/>
  <c r="F95" s="1"/>
  <c r="U95" s="1"/>
  <c r="C100"/>
  <c r="F100" s="1"/>
  <c r="U100" s="1"/>
  <c r="C110"/>
  <c r="F110" s="1"/>
  <c r="U110" s="1"/>
  <c r="C112"/>
  <c r="F112" s="1"/>
  <c r="U112" s="1"/>
  <c r="C96"/>
  <c r="F96" s="1"/>
  <c r="U96" s="1"/>
  <c r="C115"/>
  <c r="F115" s="1"/>
  <c r="U115" s="1"/>
  <c r="C105"/>
  <c r="F105" s="1"/>
  <c r="U105" s="1"/>
  <c r="C97"/>
  <c r="F97" s="1"/>
  <c r="U97" s="1"/>
  <c r="C102"/>
  <c r="F102" s="1"/>
  <c r="U102" s="1"/>
  <c r="C121"/>
  <c r="F121" s="1"/>
  <c r="U121" s="1"/>
  <c r="C106"/>
  <c r="F106" s="1"/>
  <c r="U106" s="1"/>
  <c r="C93"/>
  <c r="F93" s="1"/>
  <c r="U93" s="1"/>
  <c r="C114"/>
  <c r="F114" s="1"/>
  <c r="U114" s="1"/>
  <c r="C116"/>
  <c r="F116" s="1"/>
  <c r="U116" s="1"/>
  <c r="C120"/>
  <c r="F120" s="1"/>
  <c r="U120" s="1"/>
  <c r="C98"/>
  <c r="F98" s="1"/>
  <c r="U98" s="1"/>
  <c r="C107"/>
  <c r="F107" s="1"/>
  <c r="U107" s="1"/>
  <c r="C92"/>
  <c r="F92" s="1"/>
  <c r="U92" s="1"/>
  <c r="C111"/>
  <c r="F111" s="1"/>
  <c r="U111" s="1"/>
  <c r="C99"/>
  <c r="F99" s="1"/>
  <c r="U99" s="1"/>
  <c r="C119"/>
  <c r="F119" s="1"/>
  <c r="U119" s="1"/>
  <c r="C117" i="4"/>
  <c r="C101"/>
  <c r="C104"/>
  <c r="C91"/>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01" i="8" l="1"/>
  <c r="F101" s="1"/>
  <c r="U101" s="1"/>
  <c r="C104"/>
  <c r="F104" s="1"/>
  <c r="U104" s="1"/>
  <c r="C117"/>
  <c r="F117" s="1"/>
  <c r="U117" s="1"/>
  <c r="F118"/>
  <c r="U118" s="1"/>
  <c r="C91"/>
  <c r="F91" s="1"/>
  <c r="U91" s="1"/>
  <c r="C108"/>
  <c r="F108" s="1"/>
  <c r="U108" s="1"/>
  <c r="C122" i="4"/>
  <c r="J122"/>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7" i="1"/>
  <c r="B79"/>
  <c r="B85"/>
  <c r="B87"/>
  <c r="B89"/>
  <c r="B90"/>
  <c r="B22" i="3"/>
  <c r="C115" i="1"/>
  <c r="B114"/>
  <c r="B112"/>
  <c r="B64"/>
  <c r="B65"/>
  <c r="B66"/>
  <c r="B67"/>
  <c r="B68"/>
  <c r="B69"/>
  <c r="B70"/>
  <c r="B71"/>
  <c r="B72"/>
  <c r="B73"/>
  <c r="B74"/>
  <c r="B75"/>
  <c r="B76"/>
  <c r="B86"/>
  <c r="G122" i="4" l="1"/>
  <c r="T97"/>
  <c r="U97" s="1"/>
  <c r="N91"/>
  <c r="T91" s="1"/>
  <c r="U91" s="1"/>
  <c r="T101"/>
  <c r="U101" s="1"/>
  <c r="G52"/>
  <c r="N119"/>
  <c r="T119" s="1"/>
  <c r="N104"/>
  <c r="T104" s="1"/>
  <c r="U104" s="1"/>
  <c r="T105"/>
  <c r="U105" s="1"/>
  <c r="R137"/>
  <c r="I137"/>
  <c r="R76"/>
  <c r="I76"/>
  <c r="B117"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<sst xmlns="http://schemas.openxmlformats.org/spreadsheetml/2006/main" count="1434" uniqueCount="1113">
  <si>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</si>
  <si>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</si>
  <si>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</si>
  <si>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</si>
  <si>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</si>
  <si>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</si>
  <si>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</si>
  <si>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</si>
  <si>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</si>
  <si>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</si>
  <si>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</si>
  <si>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</si>
  <si>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</si>
  <si>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</si>
  <si>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</si>
  <si>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</si>
  <si>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</si>
  <si>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</si>
  <si>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</si>
  <si>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</si>
  <si>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</si>
  <si>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</si>
  <si>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</si>
  <si>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</si>
  <si>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</si>
  <si>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</si>
  <si>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</si>
  <si>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</si>
  <si>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</si>
  <si>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</si>
  <si>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</si>
  <si>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</si>
  <si>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</si>
  <si>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</si>
  <si>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</si>
  <si>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</si>
  <si>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</si>
  <si>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</si>
  <si>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</si>
  <si>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</si>
  <si>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</si>
  <si>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</si>
  <si>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</si>
  <si>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</si>
  <si>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</si>
  <si>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</si>
  <si>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</si>
  <si>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</si>
  <si>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</si>
  <si>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</si>
  <si>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</si>
  <si>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</si>
  <si>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</si>
  <si>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</si>
  <si>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</si>
  <si>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</si>
  <si>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</si>
  <si>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</si>
  <si>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</si>
  <si>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</si>
  <si>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</si>
  <si>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</si>
  <si>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</si>
  <si>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</si>
  <si>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</si>
  <si>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</si>
  <si>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</si>
  <si>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</si>
  <si>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</si>
  <si>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</si>
  <si>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</si>
  <si>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</si>
  <si>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</si>
  <si>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</si>
  <si>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</si>
  <si>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</si>
  <si>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</si>
  <si>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</si>
  <si>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</si>
  <si>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</si>
  <si>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</si>
  <si>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</si>
  <si>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</si>
  <si>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</si>
  <si>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</si>
  <si>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</si>
  <si>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</si>
  <si>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</si>
  <si>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</si>
  <si>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</si>
  <si>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</si>
  <si>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</si>
  <si>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</si>
  <si>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</si>
  <si>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</si>
  <si>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</si>
  <si>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</si>
  <si>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</si>
  <si>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</si>
  <si>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</si>
  <si>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</si>
  <si>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</si>
  <si>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</si>
  <si>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</si>
  <si>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</si>
  <si>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</si>
  <si>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</si>
  <si>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</si>
  <si>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</si>
  <si>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</si>
  <si>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</si>
  <si>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</si>
  <si>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</si>
  <si>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</si>
  <si>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</si>
  <si>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</si>
  <si>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</si>
  <si>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</si>
  <si>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</si>
  <si>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</si>
  <si>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</si>
  <si>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</si>
  <si>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</si>
  <si>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</si>
  <si>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</si>
  <si>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</si>
  <si>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</si>
  <si>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</si>
  <si>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</si>
  <si>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</si>
  <si>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</si>
  <si>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</si>
  <si>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</si>
  <si>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</si>
  <si>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</si>
  <si>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</si>
  <si>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</si>
  <si>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</si>
  <si>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</si>
  <si>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</si>
  <si>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</si>
  <si>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</si>
  <si>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</si>
  <si>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</si>
  <si>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</si>
  <si>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</si>
  <si>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</si>
  <si>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</si>
  <si>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</si>
  <si>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</si>
  <si>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</si>
  <si>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</si>
  <si>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</si>
  <si>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</si>
  <si>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</si>
  <si>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</si>
  <si>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</si>
  <si>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</si>
  <si>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</si>
  <si>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</si>
  <si>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</si>
  <si>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</si>
  <si>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</si>
  <si>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</si>
  <si>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</si>
  <si>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</si>
  <si>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</si>
  <si>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</si>
  <si>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</si>
  <si>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</si>
  <si>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</si>
  <si>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</si>
  <si>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</si>
  <si>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</si>
  <si>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</si>
  <si>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</si>
  <si>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</si>
  <si>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</si>
  <si>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</si>
  <si>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</si>
  <si>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</si>
  <si>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</si>
  <si>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</si>
  <si>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</si>
  <si>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</si>
  <si>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</si>
  <si>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</si>
  <si>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</si>
  <si>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</si>
  <si>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</si>
  <si>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</si>
  <si>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</si>
  <si>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</si>
  <si>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</si>
  <si>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</si>
  <si>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</si>
  <si>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</si>
  <si>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</si>
  <si>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</si>
  <si>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</si>
  <si>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</si>
  <si>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</si>
  <si>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</si>
  <si>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</si>
  <si>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</si>
  <si>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</si>
  <si>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</si>
  <si>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</si>
  <si>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</si>
  <si>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</si>
  <si>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</si>
  <si>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</si>
  <si>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</si>
  <si>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</si>
  <si>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</si>
  <si>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</si>
  <si>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</si>
  <si>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</si>
  <si>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</si>
  <si>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</si>
  <si>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</si>
  <si>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</si>
  <si>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</si>
  <si>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</si>
  <si>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</si>
  <si>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</si>
  <si>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</si>
  <si>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</si>
  <si>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</si>
  <si>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</si>
  <si>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</si>
  <si>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</si>
  <si>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</si>
  <si>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</si>
  <si>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</si>
  <si>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</si>
  <si>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</si>
  <si>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</si>
  <si>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</si>
  <si>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</si>
  <si>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</si>
  <si>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</si>
  <si>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</si>
  <si>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</si>
  <si>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</si>
  <si>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</si>
  <si>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</si>
  <si>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</si>
  <si>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</si>
  <si>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</si>
  <si>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</si>
  <si>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</si>
  <si>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</si>
  <si>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</si>
  <si>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</si>
  <si>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</si>
  <si>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</si>
  <si>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</si>
  <si>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</si>
  <si>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</si>
  <si>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</si>
  <si>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</si>
  <si>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</si>
  <si>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</si>
  <si>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</si>
  <si>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</si>
  <si>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</si>
  <si>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</si>
  <si>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</si>
  <si>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</si>
  <si>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</si>
  <si>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</si>
  <si>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</si>
  <si>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</si>
  <si>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</si>
  <si>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</si>
  <si>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</si>
  <si>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</si>
  <si>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</si>
  <si>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</si>
  <si>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</si>
  <si>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</si>
  <si>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</si>
  <si>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</si>
  <si>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</si>
  <si>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</si>
  <si>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</si>
  <si>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</si>
  <si>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</si>
  <si>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</si>
  <si>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</si>
  <si>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</si>
  <si>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</si>
  <si>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</si>
  <si>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</si>
  <si>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</si>
  <si>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</si>
  <si>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</si>
  <si>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</si>
  <si>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</si>
  <si>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</si>
  <si>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</si>
  <si>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</si>
  <si>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</si>
  <si>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</si>
  <si>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</si>
  <si>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</si>
  <si>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</si>
  <si>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</si>
  <si>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</si>
  <si>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</si>
  <si>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</si>
  <si>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</si>
  <si>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</si>
  <si>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</si>
  <si>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</si>
  <si>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</si>
  <si>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</si>
  <si>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</si>
  <si>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</si>
  <si>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</si>
  <si>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</si>
  <si>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</si>
  <si>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</si>
  <si>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</si>
  <si>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</si>
  <si>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</si>
  <si>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</si>
  <si>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</si>
  <si>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</si>
  <si>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</si>
  <si>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</si>
  <si>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</si>
  <si>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</si>
  <si>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</si>
  <si>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</si>
  <si>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</si>
  <si>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</si>
  <si>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</si>
  <si>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</si>
  <si>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</si>
  <si>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</si>
  <si>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</si>
  <si>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</si>
  <si>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</si>
  <si>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</si>
  <si>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</si>
  <si>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</si>
  <si>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</si>
  <si>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</si>
  <si>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</si>
  <si>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</si>
  <si>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</si>
  <si>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</si>
  <si>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</si>
  <si>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</si>
  <si>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</si>
  <si>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</si>
  <si>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</si>
  <si>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</si>
  <si>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</si>
  <si>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</si>
  <si>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</si>
  <si>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</si>
  <si>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</si>
  <si>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</si>
  <si>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</si>
  <si>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</si>
  <si>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</si>
  <si>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</si>
  <si>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</si>
  <si>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</si>
  <si>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</si>
  <si>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</si>
  <si>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</si>
  <si>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</si>
  <si>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</si>
  <si>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</si>
  <si>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</si>
  <si>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</si>
  <si>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</si>
  <si>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</si>
  <si>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</si>
  <si>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</si>
  <si>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</si>
  <si>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</si>
  <si>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</si>
  <si>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</si>
  <si>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</si>
  <si>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</si>
  <si>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</si>
  <si>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</si>
  <si>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</si>
  <si>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</si>
  <si>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</si>
  <si>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</si>
  <si>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</si>
  <si>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</si>
  <si>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</si>
  <si>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</si>
  <si>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</si>
  <si>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</si>
  <si>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</si>
  <si>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</si>
  <si>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</si>
  <si>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</si>
  <si>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</si>
  <si>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</si>
  <si>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</si>
  <si>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</si>
  <si>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</si>
  <si>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</si>
  <si>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</si>
  <si>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</si>
  <si>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</si>
  <si>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</si>
  <si>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</si>
  <si>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</si>
  <si>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</si>
  <si>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</si>
  <si>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</si>
  <si>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</si>
  <si>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</si>
  <si>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</si>
  <si>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</si>
  <si>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</si>
  <si>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</si>
  <si>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</si>
  <si>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</si>
  <si>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</si>
  <si>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</si>
  <si>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</si>
  <si>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</si>
  <si>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</si>
  <si>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</si>
  <si>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</si>
  <si>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</si>
  <si>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</si>
  <si>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</si>
  <si>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</si>
  <si>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</si>
  <si>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</si>
  <si>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</si>
  <si>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</si>
  <si>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</si>
  <si>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</si>
  <si>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</si>
  <si>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</si>
  <si>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</si>
  <si>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</si>
  <si>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</si>
  <si>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</si>
  <si>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</si>
  <si>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</si>
  <si>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</si>
  <si>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</si>
  <si>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</si>
  <si>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</si>
  <si>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</si>
  <si>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</si>
  <si>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</si>
  <si>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</si>
  <si>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</si>
  <si>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</si>
  <si>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</si>
  <si>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</si>
  <si>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</si>
  <si>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</si>
  <si>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</si>
  <si>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</si>
  <si>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</si>
  <si>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</si>
  <si>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</si>
  <si>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</si>
  <si>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</si>
  <si>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</si>
  <si>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</si>
  <si>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</si>
  <si>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</si>
  <si>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</si>
  <si>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</si>
  <si>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</si>
  <si>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</si>
  <si>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</si>
  <si>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</si>
  <si>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</si>
  <si>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</si>
  <si>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</si>
  <si>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</si>
  <si>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</si>
  <si>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</si>
  <si>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</si>
  <si>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</si>
  <si>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</si>
  <si>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</si>
  <si>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</si>
  <si>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</si>
  <si>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</si>
  <si>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</si>
  <si>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</si>
  <si>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</si>
  <si>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</si>
  <si>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</si>
  <si>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</si>
  <si>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</si>
  <si>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</si>
  <si>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</si>
  <si>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</si>
  <si>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</si>
  <si>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</si>
  <si>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</si>
  <si>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</si>
  <si>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</si>
  <si>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</si>
  <si>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</si>
  <si>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</si>
  <si>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</si>
  <si>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</si>
  <si>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</si>
  <si>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</si>
  <si>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</si>
  <si>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</si>
  <si>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</si>
  <si>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</si>
  <si>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</si>
  <si>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</si>
  <si>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</si>
  <si>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</si>
  <si>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</si>
  <si>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</si>
  <si>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</si>
  <si>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</si>
  <si>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</si>
  <si>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</si>
  <si>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</si>
  <si>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</si>
  <si>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</si>
  <si>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</si>
  <si>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</si>
  <si>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</si>
  <si>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</si>
  <si>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</si>
  <si>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</si>
  <si>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</si>
  <si>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</si>
  <si>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</si>
  <si>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</si>
  <si>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</si>
  <si>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</si>
  <si>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</si>
  <si>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</si>
  <si>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</si>
  <si>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</si>
  <si>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</si>
  <si>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</si>
  <si>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</si>
  <si>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</si>
  <si>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</si>
  <si>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</si>
  <si>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</si>
  <si>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</si>
  <si>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</si>
  <si>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</si>
  <si>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</si>
  <si>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</si>
  <si>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</si>
  <si>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</si>
  <si>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</si>
  <si>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</si>
  <si>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</si>
  <si>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</si>
  <si>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</si>
  <si>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</si>
  <si>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</si>
  <si>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</si>
  <si>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</si>
  <si>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</si>
  <si>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</si>
  <si>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</si>
  <si>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</si>
  <si>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</si>
  <si>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</si>
  <si>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</si>
  <si>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</si>
  <si>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</si>
  <si>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</si>
  <si>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</si>
  <si>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</si>
  <si>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</si>
  <si>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</si>
  <si>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</si>
  <si>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</si>
  <si>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</si>
  <si>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</si>
  <si>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</si>
  <si>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</si>
  <si>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</si>
  <si>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</si>
  <si>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</si>
  <si>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</si>
  <si>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</si>
  <si>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</si>
  <si>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</si>
  <si>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</si>
  <si>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</si>
  <si>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</si>
  <si>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</si>
  <si>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</si>
  <si>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</si>
  <si>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</si>
  <si>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</si>
  <si>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</si>
  <si>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</si>
  <si>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</si>
  <si>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</si>
  <si>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</si>
  <si>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</si>
  <si>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</si>
  <si>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</si>
  <si>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</si>
  <si>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</si>
  <si>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</si>
  <si>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</si>
  <si>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</si>
  <si>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</si>
  <si>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</si>
  <si>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</si>
  <si>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</si>
  <si>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</si>
  <si>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</si>
  <si>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</si>
  <si>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</si>
  <si>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</si>
  <si>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</si>
  <si>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</si>
  <si>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</si>
  <si>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</si>
  <si>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</si>
  <si>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</si>
  <si>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</si>
  <si>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</si>
  <si>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</si>
  <si>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</si>
  <si>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</si>
  <si>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</si>
  <si>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</si>
  <si>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</si>
  <si>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</si>
  <si>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</si>
  <si>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</si>
  <si>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</si>
  <si>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</si>
  <si>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</si>
  <si>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</si>
  <si>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</si>
  <si>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</si>
  <si>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</si>
  <si>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</si>
  <si>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</si>
  <si>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</si>
  <si>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</si>
  <si>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</si>
  <si>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</si>
  <si>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</si>
  <si>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</si>
  <si>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</si>
  <si>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</si>
  <si>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</si>
  <si>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</si>
  <si>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</si>
  <si>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</si>
  <si>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</si>
  <si>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</si>
  <si>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</si>
  <si>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</si>
  <si>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</si>
  <si>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</si>
  <si>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</si>
  <si>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</si>
  <si>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</si>
  <si>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</si>
  <si>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</si>
  <si>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</si>
  <si>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</si>
  <si>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</si>
  <si>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</si>
  <si>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</si>
  <si>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</si>
  <si>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</si>
  <si>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</si>
  <si>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</si>
  <si>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</si>
  <si>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</si>
  <si>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</si>
  <si>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</si>
  <si>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</si>
  <si>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</si>
  <si>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</si>
  <si>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</si>
  <si>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</si>
  <si>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</si>
  <si>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</si>
  <si>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</si>
  <si>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</si>
  <si>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</si>
  <si>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</si>
  <si>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</si>
  <si>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</si>
  <si>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</si>
  <si>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</si>
  <si>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</si>
  <si>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</si>
  <si>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</si>
  <si>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</si>
  <si>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</si>
  <si>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</si>
  <si>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</si>
  <si>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</si>
  <si>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</si>
  <si>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</si>
  <si>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</si>
  <si>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</si>
  <si>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</si>
  <si>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</si>
  <si>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</si>
  <si>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</si>
  <si>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</si>
  <si>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</si>
  <si>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</si>
  <si>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</si>
  <si>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</si>
  <si>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</si>
  <si>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</si>
  <si>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</si>
  <si>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</si>
  <si>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</si>
  <si>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</si>
  <si>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</si>
  <si>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</si>
  <si>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</si>
  <si>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</si>
  <si>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</si>
  <si>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</si>
  <si>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</si>
  <si>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</si>
  <si>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</si>
  <si>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</si>
  <si>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</si>
  <si>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</si>
  <si>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</si>
  <si>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</si>
  <si>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</si>
  <si>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</si>
  <si>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</si>
  <si>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</si>
  <si>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</si>
  <si>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</si>
  <si>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</si>
  <si>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</si>
  <si>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</si>
  <si>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</si>
  <si>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</si>
  <si>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</si>
  <si>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</si>
  <si>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</si>
  <si>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</si>
  <si>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</si>
  <si>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</si>
  <si>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</si>
  <si>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</si>
  <si>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</si>
  <si>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</si>
  <si>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</si>
  <si>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</si>
  <si>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</si>
  <si>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</si>
  <si>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</si>
  <si>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</si>
  <si>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</si>
  <si>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</si>
  <si>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</si>
  <si>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</si>
  <si>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</si>
  <si>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</si>
  <si>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</si>
  <si>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</si>
  <si>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</si>
  <si>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</si>
  <si>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</si>
  <si>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</si>
  <si>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</si>
  <si>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</si>
  <si>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</si>
  <si>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</si>
  <si>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</si>
  <si>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</si>
  <si>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</si>
  <si>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</si>
  <si>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</si>
  <si>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</si>
  <si>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</si>
  <si>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</si>
  <si>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</si>
  <si>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</si>
  <si>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</si>
  <si>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</si>
  <si>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</si>
  <si>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</si>
  <si>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</si>
  <si>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</si>
  <si>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</si>
  <si>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</si>
  <si>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</si>
  <si>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</si>
  <si>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</si>
  <si>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</si>
  <si>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</si>
  <si>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</si>
  <si>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</si>
  <si>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</si>
  <si>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</si>
  <si>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</si>
  <si>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</si>
  <si>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</si>
  <si>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</si>
  <si>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</si>
  <si>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</si>
  <si>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</si>
  <si>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</si>
  <si>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</si>
  <si>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</si>
  <si>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</si>
  <si>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</si>
  <si>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</si>
  <si>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</si>
  <si>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</si>
  <si>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</si>
  <si>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</si>
  <si>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</si>
  <si>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</si>
  <si>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</si>
  <si>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</si>
  <si>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</si>
  <si>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</si>
  <si>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</si>
  <si>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</si>
  <si>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</si>
  <si>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</si>
  <si>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</si>
  <si>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</si>
  <si>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</si>
  <si>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</si>
  <si>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</si>
  <si>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</si>
  <si>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</si>
  <si>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</si>
  <si>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</si>
  <si>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</si>
  <si>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</si>
  <si>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</si>
  <si>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</si>
  <si>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</si>
  <si>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</si>
  <si>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</si>
  <si>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</si>
  <si>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</si>
  <si>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</si>
  <si>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</si>
  <si>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</si>
  <si>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</si>
  <si>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</si>
  <si>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</si>
  <si>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</si>
  <si>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</si>
  <si>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</si>
  <si>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</si>
  <si>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</si>
  <si>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</si>
  <si>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</si>
  <si>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</si>
  <si>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</si>
  <si>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</si>
  <si>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</si>
  <si>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</si>
  <si>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</si>
  <si>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</si>
  <si>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</si>
  <si>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</si>
  <si>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</si>
  <si>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</si>
  <si>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</si>
  <si>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</si>
  <si>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</si>
  <si>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</si>
  <si>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</si>
  <si>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</si>
  <si>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</si>
  <si>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</si>
  <si>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</si>
  <si>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</si>
  <si>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</si>
  <si>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</si>
  <si>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</si>
  <si>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</si>
  <si>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</si>
  <si>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</si>
  <si>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</si>
  <si>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</si>
  <si>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</si>
  <si>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</si>
  <si>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</si>
  <si>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</si>
  <si>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</si>
  <si>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</si>
  <si>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</si>
  <si>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</si>
  <si>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</si>
  <si>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</si>
  <si>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</si>
  <si>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</si>
  <si>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</si>
  <si>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</si>
  <si>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</si>
  <si>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</si>
  <si>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</si>
  <si>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</si>
  <si>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</si>
  <si>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</si>
  <si>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</si>
  <si>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</si>
  <si>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</si>
  <si>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</si>
  <si>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</si>
  <si>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</si>
  <si>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</si>
  <si>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</si>
  <si>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</si>
  <si>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</si>
  <si>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</si>
  <si>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</si>
  <si>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</si>
  <si>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</si>
  <si>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</si>
  <si>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</si>
  <si>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</si>
  <si>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</si>
  <si>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</si>
  <si>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</si>
  <si>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</si>
  <si>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</si>
  <si>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</si>
  <si>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</si>
  <si>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</si>
  <si>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</si>
  <si>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</si>
  <si>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</si>
  <si>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</si>
  <si>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</si>
  <si>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</si>
  <si>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</si>
  <si>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</si>
  <si>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</si>
  <si>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</si>
  <si>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</si>
  <si>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</si>
  <si>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</si>
  <si>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</si>
  <si>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</si>
  <si>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</si>
  <si>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</si>
  <si>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</si>
  <si>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</si>
  <si>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</si>
  <si>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</si>
  <si>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</si>
  <si>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</si>
  <si>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</si>
  <si>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</si>
  <si>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</si>
  <si>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</si>
  <si>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</si>
  <si>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</si>
  <si>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</si>
  <si>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</si>
  <si>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</si>
  <si>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</si>
  <si>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</si>
  <si>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</si>
  <si>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</si>
  <si>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</si>
  <si>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</si>
  <si>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</si>
  <si>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</si>
  <si>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</si>
  <si>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</si>
  <si>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</si>
  <si>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</si>
  <si>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</si>
  <si>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</si>
  <si>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</si>
  <si>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</si>
  <si>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</si>
  <si>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</si>
  <si>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</si>
  <si>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</si>
  <si>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</si>
  <si>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</si>
  <si>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</si>
  <si>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</si>
  <si>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</si>
  <si>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</si>
  <si>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</si>
  <si>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</si>
  <si>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</si>
  <si>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</si>
  <si>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</si>
  <si>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</si>
  <si>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</si>
  <si>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</si>
  <si>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</si>
  <si>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</si>
  <si>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</si>
  <si>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</si>
  <si>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</si>
  <si>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</si>
  <si>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</si>
  <si>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</si>
  <si>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</si>
  <si>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</si>
  <si>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</si>
  <si>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</si>
  <si>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</si>
  <si>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</si>
  <si>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</si>
  <si>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</si>
  <si>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</si>
  <si>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</si>
  <si>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</si>
  <si>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</si>
  <si>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</si>
  <si>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</si>
  <si>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</si>
  <si>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</si>
  <si>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</si>
  <si>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</si>
  <si>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</si>
  <si>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</si>
  <si>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</si>
  <si>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</si>
  <si>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</si>
  <si>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</si>
  <si>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</si>
  <si>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</si>
  <si>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</si>
  <si>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</si>
  <si>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</si>
  <si>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</si>
  <si>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Action 9: Charging points for electric cars</t>
  </si>
  <si>
    <t>Ministry of Communications and works</t>
  </si>
  <si>
    <t>Municipal fleet</t>
  </si>
  <si>
    <t>Private transportation</t>
  </si>
  <si>
    <t>Public Transport</t>
  </si>
  <si>
    <t>Action G1: Planting</t>
  </si>
  <si>
    <t>Action G2: Tree care</t>
  </si>
  <si>
    <t>Green Area</t>
  </si>
  <si>
    <t>Action A1. Free of charge provided services to the citizens (about RES etc)</t>
  </si>
  <si>
    <t>Action A2. Booklets distribution</t>
  </si>
  <si>
    <t>Action A3. Radio and TV spots</t>
  </si>
  <si>
    <t>Action A4. Energy saving and Renewable Energy day</t>
  </si>
  <si>
    <t>Action A5. Website informations</t>
  </si>
  <si>
    <t>Action A6. Bicycle motion day (once a year)</t>
  </si>
  <si>
    <t>Action A7. Eco cars day (once a year)</t>
  </si>
  <si>
    <t>Action A8. No lighting day</t>
  </si>
  <si>
    <t xml:space="preserve"> Action A10. Educational presentations for students</t>
  </si>
  <si>
    <t xml:space="preserve">Action A11. Yearly seminar about RES </t>
  </si>
  <si>
    <t>Action A12. Yearly seminar about saving energy in industries</t>
  </si>
  <si>
    <t>Action A13. Yearly seminar about Energy Saving</t>
  </si>
  <si>
    <t>Municipal Buildings, equipment/facilities</t>
  </si>
  <si>
    <t>Action 2: Power factor installation to the Municipality Building</t>
  </si>
  <si>
    <t>Energy saving</t>
  </si>
  <si>
    <t xml:space="preserve"> </t>
  </si>
  <si>
    <t>The Energy team is consisted of: The Mayor, the Municipal European Projects officer, Municipal Health and Safety officer, Municipal Technical Department representative, Municipal Financial Department representative and Municipal Administrative staff</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</si>
  <si>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</si>
  <si>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</si>
  <si>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</si>
  <si>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Aradippou</t>
  </si>
  <si>
    <t>www.aradippou.org.cy</t>
  </si>
  <si>
    <t>Sustainable Energy Action Plan of Aradippou Municipality</t>
  </si>
  <si>
    <t>Municipal Council of Aradippou</t>
  </si>
  <si>
    <t xml:space="preserve"> Electricity Authoriy of Cyprus - 
Aradippou Municipality</t>
  </si>
  <si>
    <t>Aradippou Municipality</t>
  </si>
  <si>
    <t>Aradippou Municipality has allocated 4 people from its staff to be the Team working on the SEAP and team leader. The team will be also responsible for the implementation of actions.</t>
  </si>
  <si>
    <t>Aradippou is a municipality in Cyprus, located near the National Airport of Cyprus. Has signed the Covenant of Mayors in order to take actions towards protection of environment and make the living environment better to citizens and future generations. The Municipality of Aradippou is in constant progress and development through team work. The aim is to take the necessary steps so as Aradippou to become a modern European city with respect to its habitants and environment. The Support Office to Citizens of Aradippou was founded and has made communication between citizens and the municipality services on a qualitative basis.</t>
  </si>
  <si>
    <t>Action 1: Thermal insulation (roof) of the Municipality Town Hall</t>
  </si>
  <si>
    <t>Action 3: Conventional lamps replacement with fluorescent lamps in the Municipality Town Hall</t>
  </si>
  <si>
    <t>Action 4: Maintenance of the Heating and cooling systems of the Municipality buildings</t>
  </si>
  <si>
    <t>Action 4: 20 kW photovoltaics installation on the roof of a Muicipality building</t>
  </si>
  <si>
    <t>`2014</t>
  </si>
  <si>
    <t>Action A9. Free distribution of energy saving equipment to the citizens (1000 pieces)</t>
  </si>
  <si>
    <t>Action 8: Free parking for electric and hybrid cars (10 CARS)</t>
  </si>
  <si>
    <t>Action 1: Replacment of 2 saloon cars, with electri/hybdrid cars</t>
  </si>
  <si>
    <t>Action 6: Promotion of a bike sharing system in cooperation  with neighbour Municipalities</t>
  </si>
  <si>
    <t>Municipalities of Larnaka Region</t>
  </si>
  <si>
    <t>Action 7: Upgrade of the bicycle routes in the Municipality</t>
  </si>
  <si>
    <t>Action 1: Replacement 400 conventional lamps with new LED lamps</t>
  </si>
  <si>
    <t xml:space="preserve">Action 2: Photovoltaic Parks 150 kW </t>
  </si>
  <si>
    <t xml:space="preserve">Action 1: Small wind turbines: 3*10 kW </t>
  </si>
  <si>
    <t>The total estimated budget for the period 2010-2020 is 861.025 €</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</si>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</sst>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50"><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25" fillID_"3" borderID_"0" xfID_"0" applyFont="1" applyFill="1" applyAlignment="1" applyProtection="1"><alignment horizontal="center" vertical="center" wrapText="1"/></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 fillID_"0" borderID_"4" xfID_"0" applyFont="1" applyFill="1" applyBorder="1" applyAlignment="1" applyProtection="1"><alignment vertical="center" wrapText="1"/></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4" fillID_"0" borderID_"4" xfID_"0" applyFont="1" applyFill="1" applyBorder="1" applyAlignment="1" applyProtection="1"><alignment vertical="center" wrapText="1"/><protection locked="0"/></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0" borderID_"4"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9" fontID_"3" fillID_"0" borderID_"0" xfID_"2"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radippou.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Q4" sqref="Q4"/></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1" t="str"><f>Translation!$A$31</f><v>Island  Sustainable Energy Action Plan (ISEAP)</v></c><c r="C1" s="241"/><c r="D1" s="88"/><c r="E1" s="88"/><c r="F1" s="88"/><c r="G1" s="88"/><c r="H1" s="88"/><c r="I1" s="88"/><c r="J1" s="88"/><c r="K1" s="88"/><c r="L1" s="88"/><c r="M1" s="88"/><c r="N1" s="88"/></row><row r="2" spans="1:31" s="21" customFormat="1" ht="28.5" customHeight="1"><c r="A2" s="242" t="s"><v>896</v></c><c r="B2" s="242"/><c r="C2" s="121"/><c r="D2" s="82"/><c r="E2" s="82"/><c r="F2" s="84" t="str"><f>Translation!$A$10</f><v>Island</v></c><c r="G2" s="85" t="str"><f>'Start here'!$B$5</f><v>Cyprus - Aradippou</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1085</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4" t="str"><f>Translation!A24</f><v>Contents</v></c><c r="C11" s="244"/></row><row r="12" spans="1:31" ht="15.75"><c r="A12" s="219" t="s"><v>564</v></c><c r="B12" s="243" t="str"><f>Translation!A25</f><v>Is intended to enable the translation of the tables.</v></c><c r="C12" s="243"/></row><row r="13" spans="1:31" ht="15.75"><c r="A13" s="219" t="s"><v>563</v></c><c r="B13" s="245" t="str"><f>Translation!A26</f><v>To insert CO2 emission factors for calculating emissions.</v></c><c r="C13" s="245"/></row><row r="14" spans="1:31" ht="15.75"><c r="A14" s="219" t="s"><v>876</v></c><c r="B14" s="245" t="str"><f>Translation!A27</f><v>To establish ISEAP targets, long-term vision and organizational and financial aspects.</v></c><c r="C14" s="245"/></row><row r="15" spans="1:31" ht="15.75"><c r="A15" s="219" t="s"><v>877</v></c><c r="B15" s="245" t="str"><f>Translation!A28</f><v>To present the baseline energy balance and CO2 emissions inventory.</v></c><c r="C15" s="245"/></row><row r="16" spans="1:31" ht="15.75"><c r="A16" s="219" t="s"><v>924</v></c><c r="B16" s="243" t="str"><f>Translation!A29</f><v>To present the plan energy balance in 2020 and CO2 emissions inventory.</v></c><c r="C16" s="243"/></row><row r="17" spans="1:3" ht="15.75"><c r="A17" s="219" t="s"><v>878</v></c><c r="B17" s="243" t="str"><f>Translation!A30</f><v>To present the list of energy sustainable actions, the investment and reduction of CO2 emissions.</v></c><c r="C17" s="243"/></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6" t="str"><f>Translation!$A$31</f><v>Island  Sustainable Energy Action Plan (ISEAP)</v></c><c r="B1" s="246"/><c r="C1" s="246"/><c r="D1" s="246"/><c r="E1" s="246"/><c r="F1" s="246"/><c r="G1" s="246"/><c r="H1" s="246"/><c r="I1" s="246"/><c r="J1" s="246"/><c r="K1" s="246"/><c r="L1" s="246"/></row><row r="2" spans="1:12" s="21" customFormat="1" ht="28.5" customHeight="1"><c r="A2" s="242" t="s"><v>896</v></c><c r="B2" s="242"/><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4"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6" t="str"><f>Translation!$A$31</f><v>Island  Sustainable Energy Action Plan (ISEAP)</v></c><c r="C1" s="246"/><c r="D1" s="246"/><c r="E1" s="246"/><c r="F1" s="246"/><c r="G1" s="246"/><c r="H1" s="246"/><c r="I1" s="246"/><c r="J1" s="246"/><c r="K1" s="246"/><c r="L1" s="246"/><c r="M1" s="246"/><c r="N1" s="246"/><c r="O1" s="246"/><c r="P1" s="246"/><c r="Q1" s="246"/><c r="R1" s="246"/><c r="S1" s="246"/><c r="T1" s="246"/></row><row r="2" spans="1:22" s="21" customFormat="1" ht="28.5" customHeight="1"><c r="A2" s="251" t="s"><v>895</v></c><c r="B2" s="251"/><c r="C2" s="251"/><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50"/><c r="B5" s="250"/><c r="C5" s="249" t="str"><f>Translation!A98</f><v>Fossil fuels</v></c><c r="D5" s="249"/><c r="E5" s="249"/><c r="F5" s="249"/><c r="G5" s="249"/><c r="H5" s="249"/><c r="I5" s="249"/><c r="J5" s="249" t="str"><f>Translation!A107</f><v>Renewable energy sources</v></c><c r="K5" s="249"/><c r="L5" s="249"/><c r="M5" s="249"/><c r="N5" s="249"/><c r="O5" s="249"/><c r="P5" s="249"/><c r="Q5" s="249"/><c r="R5" s="249"/><c r="S5" s="250" t="str"><f>Translation!A123</f><v>Electricity</v></c><c r="T5" s="250"/><c r="U5" s="176"/><c r="V5" s="247" t="s"><v>567</v></c></row><row r="6" spans="1:22" ht="49.5" customHeight="1"><c r="A6" s="250"/><c r="B6" s="250"/><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48"/></row><row r="7" spans="1:22" s="174" customFormat="1" ht="20.25" customHeight="1"><c r="A7" s="254" t="str"><f>'Start here'!F7</f><v>IPCC emission factors</v></c><c r="B7" s="255"/><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52" t="str"><f>Translation!A14</f><v>IPCC emission factors</v></c><c r="B9" s="253"/><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52" t="str"><f>Translation!A15</f><v>Life Cicle Analysis (LCA) emission factors</v></c><c r="B10" s="253"/><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zoomScale="55" zoomScaleNormal="55" workbookViewID_"0"><selection activeCell="D16" sqref="D16:R16"/></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row><row r="2" spans="1:18" s="21" customFormat="1" ht="28.5" customHeight="1"><c r="A2" s="82"/><c r="B2" s="83" t="s"><v>450</v></c><c r="C2" s="82"/><c r="D2" s="82"/><c r="E2" s="82"/><c r="F2" s="84" t="str"><f>Translation!$A$10</f><v>Island</v></c><c r="G2" s="85" t="str"><f>'Start here'!$B$5</f><v>Cyprus - Aradippou</v></c><c r="H2" s="87"/><c r="I2" s="87"/><c r="J2" s="87"/><c r="K2" s="87"/><c r="L2" s="87"/><c r="M2" s="87"/><c r="N2" s="87"/><c r="O2" s="87"/><c r="P2" s="87"/><c r="Q2" s="87"/><c r="R2" s="87"/></row><row r="3" spans="1:18" ht="28.5" customHeight="1"><c r="A3" s="259"/><c r="B3" s="259"/><c r="C3" s="259"/><c r="D3" s="259"/><c r="E3" s="259"/><c r="F3" s="259"/><c r="G3" s="259"/><c r="H3" s="259"/><c r="I3" s="259"/><c r="J3" s="127"/><c r="K3" s="127"/><c r="Q3" s="27"/></row><row r="4" spans="1:18" ht="39.75" customHeight="1"><c r="A4" s="260" t="str"><f>Translation!A33</f><v>OVERALL STRATEGY</v></c><c r="B4" s="260"/><c r="C4" s="260"/><c r="D4" s="260"/><c r="E4" s="260"/><c r="F4" s="260"/><c r="G4" s="260"/><c r="H4" s="260"/><c r="I4" s="260"/><c r="J4" s="260"/><c r="K4" s="260"/><c r="L4" s="260"/><c r="M4" s="260"/><c r="N4" s="260"/><c r="O4" s="260"/><c r="P4" s="260"/><c r="Q4" s="260"/><c r="R4" s="260"/></row><row r="5" spans="1:18" ht="21"><c r="A5" s="137"/><c r="B5" s="146"/><c r="C5" s="147"/><c r="D5" s="148"/><c r="E5" s="148"/><c r="F5" s="148"/><c r="G5" s="149"/><c r="H5" s="150"/><c r="P5" s="264" t="str"><f>Translation!$A$53</f><v>Mandatory fields</v></c><c r="Q5" s="264"/><c r="R5" s="264"/></row><row r="6" spans="1:18" ht="31.5"><c r="A6" s="166"/><c r="B6" s="167"/><c r="J6" s="168" t="str"><f>Translation!A36</f><v>Absolute reduction</v></c><c r="L6" s="168" t="str"><f>Translation!A38</f><v>Per capita reduction</v></c></row><row r="7" spans="1:18" s="170" customFormat="1" ht="36"><c r="A7" s="119" t="s"><v>0</v></c><c r="B7" s="262" t="str"><f>Translation!A34</f><v>OVERALL CO2 EMISSION REDUCTION TARGET BY 2020</v></c><c r="C7" s="262"/><c r="D7" s="262"/><c r="E7" s="262"/><c r="F7" s="262"/><c r="G7" s="262"/><c r="H7" s="262"/><c r="I7" s="263"/><c r="J7" s="123"><v>0.2</v></c><c r="K7" s="169" t="str"><f>Translation!A37</f><v>or</v></c><c r="L7" s="123"><v>0.2</v></c><c r="M7" s="261" t="str"><f>Translation!$B$35</f><v>Please select the corresponding box</v></c><c r="N7" s="261"/><c r="O7" s="261"/></row><row r="8" spans="1:18" ht="33.75" customHeight="1"><c r="A8" s="137"/><c r="B8" s="146"/><c r="C8" s="147"/><c r="D8" s="148"/><c r="E8" s="148"/><c r="F8" s="148"/><c r="G8" s="149"/><c r="H8" s="150"/><c r="P8" s="126" t="s"><v>1080</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1" t="s"><v>1092</v></c><c r="C10" s="272"/><c r="D10" s="272"/><c r="E10" s="272"/><c r="F10" s="272"/><c r="G10" s="272"/><c r="H10" s="272"/><c r="I10" s="272"/><c r="J10" s="272"/><c r="K10" s="272"/><c r="L10" s="272"/><c r="M10" s="272"/><c r="N10" s="272"/><c r="O10" s="272"/><c r="P10" s="272"/><c r="Q10" s="272"/><c r="R10" s="273"/></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9" t="str"><f>Translation!A42</f><v>Coordination and organisational structures created/assigned</v></c><c r="C13" s="270"/><c r="D13" s="256" t="s"><v>1081</v></c><c r="E13" s="257"/><c r="F13" s="257"/><c r="G13" s="257"/><c r="H13" s="257"/><c r="I13" s="257"/><c r="J13" s="257"/><c r="K13" s="257"/><c r="L13" s="257"/><c r="M13" s="257"/><c r="N13" s="257"/><c r="O13" s="257"/><c r="P13" s="257"/><c r="Q13" s="257"/><c r="R13" s="258"/></row><row r="14" spans="1:18" ht="44.25" customHeight="1"><c r="A14" s="153"/><c r="B14" s="269" t="str"><f>Translation!A43</f><v>Staff capacity allocated</v></c><c r="C14" s="270"/><c r="D14" s="256" t="s"><v>1091</v></c><c r="E14" s="257"/><c r="F14" s="257"/><c r="G14" s="257"/><c r="H14" s="257"/><c r="I14" s="257"/><c r="J14" s="257"/><c r="K14" s="257"/><c r="L14" s="257"/><c r="M14" s="257"/><c r="N14" s="257"/><c r="O14" s="257"/><c r="P14" s="257"/><c r="Q14" s="257"/><c r="R14" s="258"/></row><row r="15" spans="1:18" ht="44.25" customHeight="1"><c r="A15" s="153"/><c r="B15" s="269" t="str"><f>Translation!A44</f><v>Involvement of stakeholders and citizens</v></c><c r="C15" s="270"/><c r="D15" s="256" t="s"><v>1082</v></c><c r="E15" s="257"/><c r="F15" s="257"/><c r="G15" s="257"/><c r="H15" s="257"/><c r="I15" s="257"/><c r="J15" s="257"/><c r="K15" s="257"/><c r="L15" s="257"/><c r="M15" s="257"/><c r="N15" s="257"/><c r="O15" s="257"/><c r="P15" s="257"/><c r="Q15" s="257"/><c r="R15" s="258"/></row><row r="16" spans="1:18" ht="44.25" customHeight="1"><c r="A16" s="153"/><c r="B16" s="269" t="str"><f>Translation!A45</f><v>Overall estimated budget</v></c><c r="C16" s="270"/><c r="D16" s="256" t="s"><v>1107</v></c><c r="E16" s="257"/><c r="F16" s="257"/><c r="G16" s="257"/><c r="H16" s="257"/><c r="I16" s="257"/><c r="J16" s="257"/><c r="K16" s="257"/><c r="L16" s="257"/><c r="M16" s="257"/><c r="N16" s="257"/><c r="O16" s="257"/><c r="P16" s="257"/><c r="Q16" s="257"/><c r="R16" s="258"/></row><row r="17" spans="1:18" ht="44.25" customHeight="1"><c r="A17" s="153"/><c r="B17" s="269" t="str"><f>Translation!A46</f><v>Foreseen financing sources for the investments within your action plan</v></c><c r="C17" s="270"/><c r="D17" s="256" t="s"><v>1083</v></c><c r="E17" s="257"/><c r="F17" s="257"/><c r="G17" s="257"/><c r="H17" s="257"/><c r="I17" s="257"/><c r="J17" s="257"/><c r="K17" s="257"/><c r="L17" s="257"/><c r="M17" s="257"/><c r="N17" s="257"/><c r="O17" s="257"/><c r="P17" s="257"/><c r="Q17" s="257"/><c r="R17" s="258"/></row><row r="18" spans="1:18" ht="44.25" customHeight="1"><c r="A18" s="153"/><c r="B18" s="269" t="str"><f>Translation!A47</f><v>Planned measures for monitoring and follow up</v></c><c r="C18" s="270"/><c r="D18" s="256" t="s"><v>1084</v></c><c r="E18" s="257"/><c r="F18" s="257"/><c r="G18" s="257"/><c r="H18" s="257"/><c r="I18" s="257"/><c r="J18" s="257"/><c r="K18" s="257"/><c r="L18" s="257"/><c r="M18" s="257"/><c r="N18" s="257"/><c r="O18" s="257"/><c r="P18" s="257"/><c r="Q18" s="257"/><c r="R18" s="258"/></row><row r="19" spans="1:18" ht="23.25" customHeight="1"><c r="A19" s="153"/><c r="B19" s="171"/><c r="C19" s="171"/><c r="D19" s="171"/><c r="E19" s="171"/><c r="F19" s="171"/><c r="G19" s="171"/><c r="H19" s="171"/><c r="I19" s="171"/></row><row r="20" spans="1:18" ht="23.25"><c r="A20" s="153"/><c r="B20" s="265" t="str"><f>Translation!A48</f><v xml:space="preserve">Go to the next sheet dedicated to your Baseline Emission Inventory </v></c><c r="C20" s="266"/><c r="D20" s="266"/><c r="E20" s="266"/><c r="F20" s="266"/><c r="G20" s="266"/><c r="H20" s="266"/><c r="I20" s="266"/><c r="J20" s="266"/><c r="K20" s="266"/><c r="L20" s="266"/><c r="M20" s="266"/><c r="N20" s="266"/><c r="O20" s="266"/><c r="P20" s="266"/><c r="Q20" s="266"/><c r="R20" s="266"/></row><row r="21" spans="1:18" ht="13.5" customHeight="1"><c r="A21" s="153"/><c r="B21" s="171"/><c r="C21" s="171"/><c r="D21" s="171"/><c r="E21" s="171"/><c r="F21" s="171"/><c r="G21" s="171"/><c r="H21" s="171"/><c r="I21" s="171"/></row><row r="22" spans="1:18" s="21" customFormat="1" ht="12.75" customHeight="1"><c r="B22" s="26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7"/><c r="D22" s="267"/><c r="E22" s="267"/><c r="F22" s="267"/><c r="G22" s="267"/><c r="H22" s="267"/><c r="I22" s="267"/><c r="J22" s="267"/><c r="K22" s="267"/><c r="L22" s="267"/><c r="M22" s="267"/><c r="N22" s="267"/><c r="O22" s="267"/><c r="P22" s="267"/><c r="Q22" s="267"/><c r="R22" s="267"/></row><row r="23" spans="1:18" s="21" customFormat="1" ht="12.75" customHeight="1"><c r="B23" s="267"/><c r="C23" s="267"/><c r="D23" s="267"/><c r="E23" s="267"/><c r="F23" s="267"/><c r="G23" s="267"/><c r="H23" s="267"/><c r="I23" s="267"/><c r="J23" s="267"/><c r="K23" s="267"/><c r="L23" s="267"/><c r="M23" s="267"/><c r="N23" s="267"/><c r="O23" s="267"/><c r="P23" s="267"/><c r="Q23" s="267"/><c r="R23" s="267"/></row><row r="24" spans="1:18" s="21" customFormat="1" ht="12.75" customHeight="1"><c r="B24" s="267"/><c r="C24" s="267"/><c r="D24" s="267"/><c r="E24" s="267"/><c r="F24" s="267"/><c r="G24" s="267"/><c r="H24" s="267"/><c r="I24" s="267"/><c r="J24" s="267"/><c r="K24" s="267"/><c r="L24" s="267"/><c r="M24" s="267"/><c r="N24" s="267"/><c r="O24" s="267"/><c r="P24" s="267"/><c r="Q24" s="267"/><c r="R24" s="267"/></row><row r="26" spans="1:18" s="172" customFormat="1" ht="15.75"><c r="B26" s="268"/><c r="C26" s="268"/><c r="D26" s="268"/><c r="E26" s="268"/><c r="F26" s="268"/><c r="G26" s="268"/><c r="H26" s="268"/><c r="I26" s="268"/><c r="J26" s="268"/><c r="K26" s="268"/><c r="L26" s="268"/><c r="M26" s="268"/><c r="N26" s="268"/><c r="O26" s="268"/></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3" zoomScale="70" zoomScaleNormal="70" workbookViewID_"0"><selection activeCell="I151" sqref="I151"/></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83" t="s"><v>450</v></c><c r="C2" s="82"/><c r="D2" s="82"/><c r="E2" s="82"/><c r="F2" s="86"/><c r="G2" s="86"/><c r="H2" s="87"/><c r="I2" s="84" t="str"><f>Translation!$A$10</f><v>Island</v></c><c r="J2" s="85" t="str"><f>'Start here'!$B$5</f><v>Cyprus - Aradippou</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0" t="str"><f>Translation!A49</f><v>BASELINE EMISSION INVENTORY</v></c><c r="B4" s="260"/><c r="C4" s="260"/><c r="D4" s="260"/><c r="E4" s="260"/><c r="F4" s="260"/><c r="G4" s="260"/><c r="H4" s="260"/><c r="I4" s="260"/><c r="J4" s="260"/><c r="K4" s="260"/><c r="L4" s="260"/><c r="M4" s="260"/><c r="N4" s="260"/><c r="O4" s="260"/><c r="P4" s="260"/><c r="Q4" s="260"/><c r="R4" s="260"/><c r="S4" s="260"/><c r="T4" s="260"/><c r="U4" s="26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64" t="str"><f>Translation!$A$53</f><v>Mandatory fields</v></c><c r="T6" s="264"/><c r="U6" s="264"/></row><row r="7" spans="1:30" s="135" customFormat="1" ht="36"><c r="A7" s="133" t="s"><v>0</v></c><c r="B7" s="134" t="str"><f>Translation!A50</f><v>GENERAL DATA</v></c><c r="L7" s="136"/></row><row r="8" spans="1:30" ht="21"><c r="A8" s="137"/><c r="B8" s="139" t="str"><f>Translation!A52</f><v>Number of inhabitants</v></c><c r="C8" s="314"><v>18310</v></c><c r="D8" s="315"/><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16" t="str"><f>'Start here'!F7</f><v>IPCC emission factors</v></c><c r="D10" s="316"/><c r="E10" s="316"/><c r="F10" s="316"/><c r="G10" s="316"/><c r="H10" s="316"/><c r="I10" s="316"/><c r="J10" s="31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4" t="str"><f>Translation!A56</f><v>DEMAND SECTOR</v></c><c r="C14" s="276" t="str"><f>Translation!A93</f><v>ENERGY FOR FINAL USE</v></c><c r="D14" s="277"/><c r="E14" s="277"/><c r="F14" s="277"/><c r="G14" s="277"/><c r="H14" s="277"/><c r="I14" s="277"/><c r="J14" s="277"/><c r="K14" s="277"/><c r="L14" s="277"/><c r="M14" s="277"/><c r="N14" s="277"/><c r="O14" s="277"/><c r="P14" s="277"/><c r="Q14" s="277"/><c r="R14" s="277"/><c r="S14" s="277"/><c r="T14" s="277"/><c r="U14" s="278"/></row><row r="15" spans="1:30" s="55" customFormat="1" ht="18" customHeight="1"><c r="B15" s="275"/><c r="C15" s="276" t="str"><f>Translation!A94</f><v>Centralized energy services</v></c><c r="D15" s="277"/><c r="E15" s="277"/><c r="F15" s="278"/><c r="G15" s="276" t="str"><f>Translation!A98</f><v>Fossil fuels</v></c><c r="H15" s="277"/><c r="I15" s="277"/><c r="J15" s="277"/><c r="K15" s="277"/><c r="L15" s="277"/><c r="M15" s="278"/><c r="N15" s="276" t="str"><f>Translation!A105</f><v>Renewable energy sources (excluding electricity and heat sold to public networks)</v></c><c r="O15" s="277"/><c r="P15" s="277"/><c r="Q15" s="277"/><c r="R15" s="277"/><c r="S15" s="277"/><c r="T15" s="278"/><c r="U15" s="27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5"/></row><row r="17" spans="1:21" s="21" customFormat="1" ht="15.75"><c r="A17" s="22"/><c r="B17" s="70" t="str"><f>Translation!A59</f><v>RESIDENTIAL</v></c><c r="C17" s="124"><f>SUM(C18:C26)</f><v>36517.760000000002</v></c><c r="D17" s="124"><f>SUM(D18:D26)</f><v>0</v></c><c r="E17" s="124"><f>SUM(E18:E26)</f><v>0</v></c><c r="F17" s="68"><f t="shared" ref="F17:F52" si="0">SUM(C17:E17)</f><v>36517.760000000002</v></c><c r="G17" s="124"><f t="shared" ref="G17:L17" si="1">SUM(G18:G26)</f><v>16642.1175</v></c><c r="H17" s="124"><f t="shared" si="1"/><v>0</v></c><c r="I17" s="124"><f t="shared" si="1"/><v>0</v></c><c r="J17" s="124"><f t="shared" si="1"/><v>2383.1083928571429</v></c><c r="K17" s="124"><f t="shared" si="1"/><v>0</v></c><c r="L17" s="124"><f t="shared" si="1"/><v>0</v></c><c r="M17" s="68"><f t="shared" ref="M17:M52" si="2">SUM(G17:L17)</f><v>19025.225892857143</v></c><c r="N17" s="124"><f t="shared" ref="N17:S17" si="3">SUM(N18:N26)</f><v>0</v></c><c r="O17" s="124"><f t="shared" si="3"/><v>0</v></c><c r="P17" s="124"><f t="shared" si="3"/><v>4589.0152499999995</v></c><c r="Q17" s="124"><f t="shared" si="3"/><v>126.49162500000001</v></c><c r="R17" s="124"><f t="shared" si="3"/><v>0</v></c><c r="S17" s="124"><f t="shared" si="3"/><v>2546.0493749999996</v></c><c r="T17" s="68"><f t="shared" ref="T17" si="4">SUM(N17:S17)</f><v>7261.5562499999987</v></c><c r="U17" s="68"><f t="shared" ref="U17" si="5">F17+M17+T17</f><v>62804.54214285715</v></c></row><row r="18" spans="1:21" s="21" customFormat="1" ht="15.75"><c r="A18" s="22"/><c r="B18" s="197" t="str"><f>Translation!A60</f><v>Hot water</v></c><c r="C18" s="223"><v>1095.54</v></c><c r="D18" s="158"/><c r="E18" s="158"/><c r="F18" s="68"><f t="shared" si="0"/><v>1095.54</v></c><c r="G18" s="222"><f>C18*14/16</f><v>958.59749999999997</v></c><c r="H18" s="158"/><c r="I18" s="158"/><c r="J18" s="222"><f>C18*1/16</f><v>68.471249999999998</v></c><c r="K18" s="158"/><c r="L18" s="158"/><c r="M18" s="68"><f t="shared" si="2"/><v>1027.0687499999999</v></c><c r="N18" s="158"/><c r="O18" s="158"/><c r="P18" s="158"><v>4450.6312499999995</v></c><c r="Q18" s="158"><v>34.235624999999999</v></c><c r="R18" s="158"/><c r="S18" s="223"><v>239.64937499999999</v></c><c r="T18" s="68"><f t="shared" ref="T18:T52" si="6">SUM(N18:S18)</f><v>4724.5162499999997</v></c><c r="U18" s="68"><f t="shared" ref="U18:U52" si="7">F18+M18+T18</f><v>6847.125</v></c></row><row r="19" spans="1:21" s="21" customFormat="1" ht="15.75"><c r="A19" s="22"/><c r="B19" s="197" t="str"><f>Translation!A61</f><v>Heating and cooling</v></c><c r="C19" s="223"><v>26292.959999999999</v></c><c r="D19" s="158"/><c r="E19" s="158"/><c r="F19" s="68"><f t="shared" si="0"/><v>26292.959999999999</v></c><c r="G19" s="222"><f>C19*34/57</f><v>15683.52</v></c><c r="H19" s="158"/><c r="I19" s="158"/><c r="J19" s="222"><f>C19*4/57</f><v>1845.12</v></c><c r="K19" s="158"/><c r="L19" s="158"/><c r="M19" s="68"><f t="shared" si="2"/><v>17528.64</v></c><c r="N19" s="158"/><c r="O19" s="158"/><c r="P19" s="158"><v>138.38399999999999</v></c><c r="Q19" s="158"><v>92.256000000000014</v></c><c r="R19" s="158"/><c r="S19" s="223"><v>2306.3999999999996</v></c><c r="T19" s="68"><f t="shared" si="6"/><v>2537.0399999999995</v></c><c r="U19" s="68"><f t="shared" si="7"/><v>46358.64</v></c></row><row r="20" spans="1:21" s="21" customFormat="1" ht="15.75"><c r="A20" s="22"/><c r="B20" s="197" t="str"><f>Translation!A62</f><v>Lighting</v></c><c r="C20" s="223"><v>1460.72</v></c><c r="D20" s="158"/><c r="E20" s="158"/><c r="F20" s="68"><f t="shared" si="0"/><v>1460.72</v></c><c r="G20" s="158"/><c r="H20" s="158"/><c r="I20" s="158"/><c r="J20" s="158"/><c r="K20" s="158"/><c r="L20" s="158"/><c r="M20" s="68"><f t="shared" si="2"/><v>0</v></c><c r="N20" s="158"/><c r="O20" s="158"/><c r="P20" s="158"/><c r="Q20" s="158"/><c r="R20" s="158"/><c r="S20" s="158"/><c r="T20" s="68"><f t="shared" si="6"/><v>0</v></c><c r="U20" s="68"><f t="shared" si="7"/><v>1460.72</v></c></row><row r="21" spans="1:21" s="21" customFormat="1" ht="15.75"><c r="A21" s="22"/><c r="B21" s="197" t="str"><f>Translation!A63</f><v>Cooking</v></c><c r="C21" s="223"><v>1095.54</v></c><c r="D21" s="158"/><c r="E21" s="158"/><c r="F21" s="68"><f t="shared" si="0"/><v>1095.54</v></c><c r="G21" s="158"/><c r="H21" s="158"/><c r="I21" s="158"/><c r="J21" s="222"><f>C21*30/70</f><v>469.5171428571428</v></c><c r="K21" s="158"/><c r="L21" s="158"/><c r="M21" s="68"><f t="shared" si="2"/><v>469.5171428571428</v></c><c r="N21" s="158"/><c r="O21" s="158"/><c r="P21" s="158"/><c r="Q21" s="158"/><c r="R21" s="158"/><c r="S21" s="158"/><c r="T21" s="68"><f t="shared" si="6"/><v>0</v></c><c r="U21" s="68"><f t="shared" si="7"/><v>1565.0571428571427</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6573</v></c><c r="D26" s="158"/><c r="E26" s="158"/><c r="F26" s="68"><f t="shared" si="0"/><v>6573</v></c><c r="G26" s="158"/><c r="H26" s="158"/><c r="I26" s="158"/><c r="J26" s="158"/><c r="K26" s="158"/><c r="L26" s="158"/><c r="M26" s="68"><f t="shared" si="2"/><v>0</v></c><c r="N26" s="158"/><c r="O26" s="158"/><c r="P26" s="158"/><c r="Q26" s="158"/><c r="R26" s="158"/><c r="S26" s="158"/><c r="T26" s="68"><f t="shared" si="6"/><v>0</v></c><c r="U26" s="68"><f t="shared" si="7"/><v>6573</v></c></row><row r="27" spans="1:21" s="21" customFormat="1" ht="15.75"><c r="A27" s="22"/><c r="B27" s="70" t="str"><f>Translation!A69</f><v>PRIMARY SECTOR</v></c><c r="C27" s="124"><f>SUM(C28:C29)</f><v>3792</v></c><c r="D27" s="124"><f>SUM(D28:D29)</f><v>0</v></c><c r="E27" s="124"><f>SUM(E28:E29)</f><v>0</v></c><c r="F27" s="68"><f t="shared" si="0"/><v>3792</v></c><c r="G27" s="124"><f t="shared" ref="G27:L27" si="8">SUM(G28:G29)</f><v>981</v></c><c r="H27" s="124"><f t="shared" si="8"/><v>20</v></c><c r="I27" s="124"><f t="shared" si="8"/><v>0</v></c><c r="J27" s="124"><f t="shared" si="8"/><v>769.05934734161838</v></c><c r="K27" s="124"><f t="shared" si="8"/><v>0</v></c><c r="L27" s="124"><f t="shared" si="8"/><v>0</v></c><c r="M27" s="68"><f t="shared" si="2"/><v>1770.0593473416184</v></c><c r="N27" s="124"><f t="shared" ref="N27:S27" si="9">SUM(N28:N29)</f><v>240</v></c><c r="O27" s="124"><f t="shared" si="9"/><v>0</v></c><c r="P27" s="124"><f t="shared" si="9"/><v>0</v></c><c r="Q27" s="124"><f t="shared" si="9"/><v>0</v></c><c r="R27" s="124"><f t="shared" si="9"/><v>0</v></c><c r="S27" s="124"><f t="shared" si="9"/><v>1511.6000000000001</v></c><c r="T27" s="68"><f t="shared" si="6"/><v>1751.6000000000001</v></c><c r="U27" s="68"><f t="shared" si="7"/><v>7313.6593473416187</v></c></row><row r="28" spans="1:21" s="21" customFormat="1" ht="15.75"><c r="A28" s="22"/><c r="B28" s="198" t="str"><f>Translation!A70</f><v>Agriculture, forestry and fishing</v></c><c r="C28" s="158"><v>3779</v></c><c r="D28" s="158"/><c r="E28" s="158"/><c r="F28" s="68"><f t="shared" si="0"/><v>3779</v></c><c r="G28" s="158"><v>978</v></c><c r="H28" s="158"/><c r="I28" s="158"/><c r="J28" s="158"><v>766.42280422045781</v></c><c r="K28" s="158"/><c r="L28" s="158"/><c r="M28" s="68"><f t="shared" si="2"/><v>1744.4228042204577</v></c><c r="N28" s="158"><v>240</v></c><c r="O28" s="158"/><c r="P28" s="158"/><c r="Q28" s="158"/><c r="R28" s="158"/><c r="S28" s="223"><v>1511.6000000000001</v></c><c r="T28" s="68"><f t="shared" si="6"/><v>1751.6000000000001</v></c><c r="U28" s="68"><f t="shared" si="7"/><v>7275.0228042204581</v></c></row><row r="29" spans="1:21" s="21" customFormat="1" ht="15.75"><c r="A29" s="22"/><c r="B29" s="198" t="str"><f>Translation!A71</f><v>Mining and quarrying</v></c><c r="C29" s="158"><v>13</v></c><c r="D29" s="158"/><c r="E29" s="158"/><c r="F29" s="68"><f t="shared" si="0"/><v>13</v></c><c r="G29" s="158"><v>3</v></c><c r="H29" s="158"><v>20</v></c><c r="I29" s="158"/><c r="J29" s="158"><v>2.6365431211606118</v></c><c r="K29" s="158"/><c r="L29" s="158"/><c r="M29" s="68"><f t="shared" si="2"/><v>25.636543121160614</v></c><c r="N29" s="158"/><c r="O29" s="158"/><c r="P29" s="158"/><c r="Q29" s="158"/><c r="R29" s="158"/><c r="S29" s="158"/><c r="T29" s="68"><f t="shared" si="6"/><v>0</v></c><c r="U29" s="68"><f t="shared" si="7"/><v>38.636543121160614</v></c></row><row r="30" spans="1:21" s="21" customFormat="1" ht="15.75"><c r="A30" s="22"/><c r="B30" s="65" t="str"><f>Translation!A72</f><v>SECONDARY SECTOR</v></c><c r="C30" s="124"><f>SUM(C31:C33)</f><v>37375</v></c><c r="D30" s="124"><f>SUM(D31:D33)</f><v>0</v></c><c r="E30" s="124"><f>SUM(E31:E33)</f><v>0</v></c><c r="F30" s="68"><f t="shared" si="0"/><v>37375</v></c><c r="G30" s="124"><f t="shared" ref="G30:L30" si="10">SUM(G31:G33)</f><v>9671</v></c><c r="H30" s="124"><f t="shared" si="10"/><v>0</v></c><c r="I30" s="124"><f t="shared" si="10"/><v>0</v></c><c r="J30" s="124"><f t="shared" si="10"/><v>7580.0614733367593</v></c><c r="K30" s="124"><f t="shared" si="10"/><v>0</v></c><c r="L30" s="124"><f t="shared" si="10"/><v>0</v></c><c r="M30" s="68"><f t="shared" si="2"/><v>17251.061473336758</v></c><c r="N30" s="124"><f t="shared" ref="N30:S30" si="11">SUM(N31:N33)</f><v>0</v></c><c r="O30" s="124"><f t="shared" si="11"/><v>0</v></c><c r="P30" s="124"><f t="shared" si="11"/><v>1631</v></c><c r="Q30" s="124"><f t="shared" si="11"/><v>0</v></c><c r="R30" s="124"><f t="shared" si="11"/><v>0</v></c><c r="S30" s="124"><f t="shared" si="11"/><v>544</v></c><c r="T30" s="68"><f t="shared" si="6"/><v>2175</v></c><c r="U30" s="68"><f t="shared" si="7"/><v>56801.061473336755</v></c></row><row r="31" spans="1:21" s="21" customFormat="1" ht="15.75"><c r="A31" s="22"/><c r="B31" s="79" t="str"><f>Translation!A73</f><v>Manufacturing</v></c><c r="C31" s="223"><v>36977</v></c><c r="D31" s="158"/><c r="E31" s="158"/><c r="F31" s="68"><f t="shared" si="0"/><v>36977</v></c><c r="G31" s="158"><v>9568</v></c><c r="H31" s="158"><v>0</v></c><c r="I31" s="158"><v>0</v></c><c r="J31" s="158"><v>7499.3426916273802</v></c><c r="K31" s="158"/><c r="L31" s="158"/><c r="M31" s="68"><f t="shared" si="2"/><v>17067.342691627382</v></c><c r="N31" s="158"/><c r="O31" s="158"/><c r="P31" s="158"><v>1631</v></c><c r="Q31" s="158"/><c r="R31" s="158"/><c r="S31" s="158"><v>544</v></c><c r="T31" s="68"><f t="shared" si="6"/><v>2175</v></c><c r="U31" s="68"><f t="shared" si="7"/><v>56219.342691627382</v></c></row><row r="32" spans="1:21" s="21" customFormat="1" ht="30"><c r="A32" s="22"/><c r="B32" s="198" t="str"><f>Translation!A74</f><v>Water supply, sewerage, waste management and remediation activities</v></c><c r="C32" s="223"><v>41</v></c><c r="D32" s="158"/><c r="E32" s="158"/><c r="F32" s="68"><f t="shared" si="0"/><v>41</v></c><c r="G32" s="158"><v>11</v></c><c r="H32" s="158"><v>0</v></c><c r="I32" s="158"><v>0</v></c><c r="J32" s="158"><v>8.3152513821219305</v></c><c r="K32" s="158"/><c r="L32" s="158"/><c r="M32" s="68"><f t="shared" si="2"/><v>19.315251382121929</v></c><c r="N32" s="158"/><c r="O32" s="158"/><c r="P32" s="158"/><c r="Q32" s="158"/><c r="R32" s="158"/><c r="S32" s="158"/><c r="T32" s="68"><f t="shared" si="6"/><v>0</v></c><c r="U32" s="68"><f t="shared" si="7"/><v>60.315251382121929</v></c></row><row r="33" spans="1:21" s="21" customFormat="1" ht="15.75"><c r="A33" s="22"/><c r="B33" s="198" t="str"><f>Translation!A75</f><v>Construction</v></c><c r="C33" s="223"><v>357</v></c><c r="D33" s="158"/><c r="E33" s="158"/><c r="F33" s="68"><f t="shared" si="0"/><v>357</v></c><c r="G33" s="158"><v>92</v></c><c r="H33" s="158"><v>0</v></c><c r="I33" s="158"><v>0</v></c><c r="J33" s="158"><v>72.403530327256803</v></c><c r="K33" s="158"/><c r="L33" s="158"/><c r="M33" s="68"><f t="shared" si="2"/><v>164.40353032725682</v></c><c r="N33" s="158"/><c r="O33" s="158"/><c r="P33" s="158"/><c r="Q33" s="158"/><c r="R33" s="158"/><c r="S33" s="158"/><c r="T33" s="68"><f t="shared" si="6"/><v>0</v></c><c r="U33" s="68"><f t="shared" si="7"/><v>521.40353032725682</v></c></row><row r="34" spans="1:21" s="21" customFormat="1" ht="15.75"><c r="A34" s="22"/><c r="B34" s="65" t="str"><f>Translation!A76</f><v>TERTIARY SECTOR</v></c><c r="C34" s="124"><f>SUM(C35:C42)</f><v>22872</v></c><c r="D34" s="124"><f>SUM(D35:D42)</f><v>0</v></c><c r="E34" s="124"><f>SUM(E35:E42)</f><v>0</v></c><c r="F34" s="68"><f t="shared" si="0"/><v>22872</v></c><c r="G34" s="124"><f t="shared" ref="G34:L34" si="12">SUM(G35:G42)</f><v>5288.1819841566157</v></c><c r="H34" s="124"><f t="shared" si="12"/><v>0</v></c><c r="I34" s="124"><f t="shared" si="12"/><v>0</v></c><c r="J34" s="124"><f t="shared" si="12"/><v>4144.6457864644817</v></c><c r="K34" s="124"><f t="shared" si="12"/><v>0</v></c><c r="L34" s="124"><f t="shared" si="12"/><v>0</v></c><c r="M34" s="68"><f t="shared" si="2"/><v>9432.8277706210974</v></c><c r="N34" s="124"><f t="shared" ref="N34:S34" si="13">SUM(N35:N42)</f><v>0</v></c><c r="O34" s="124"><f t="shared" si="13"/><v>0</v></c><c r="P34" s="124"><f t="shared" si="13"/><v>875.82857142857142</v></c><c r="Q34" s="124"><f t="shared" si="13"/><v>0</v></c><c r="R34" s="124"><f t="shared" si="13"/><v>0</v></c><c r="S34" s="124"><f t="shared" si="13"/><v>291.94285714285718</v></c><c r="T34" s="68"><f t="shared" si="6"/><v>1167.7714285714287</v></c><c r="U34" s="68"><f t="shared" si="7"/><v>33472.599199192526</v></c></row><row r="35" spans="1:21" s="21" customFormat="1" ht="30"><c r="A35" s="22"/><c r="B35" s="198" t="str"><f>Translation!A77</f><v xml:space="preserve">Wholesale and retail trade; repair of motor vehicles and motorcycles </v></c><c r="C35" s="223"><v>7461</v></c><c r="D35" s="158"/><c r="E35" s="158"/><c r="F35" s="68"><f t="shared" si="0"/><v>7461</v></c><c r="G35" s="158"><v>1930.6677326185413</v></c><c r="H35" s="158"/><c r="I35" s="158"/><c r="J35" s="158"><v>1513.1729405368712</v></c><c r="K35" s="158"/><c r="L35" s="158"/><c r="M35" s="68"><f t="shared" si="2"/><v>3443.8406731554123</v></c><c r="N35" s="158"/><c r="O35" s="158"/><c r="P35" s="158"><v>319.75714285714287</v></c><c r="Q35" s="158"/><c r="R35" s="158"/><c r="S35" s="158"><v>106.58571428571429</v></c><c r="T35" s="68"><f t="shared" si="6"/><v>426.34285714285716</v></c><c r="U35" s="68"><f t="shared" si="7"/><v>11331.183530298271</v></c></row><row r="36" spans="1:21" s="21" customFormat="1" ht="15.75"><c r="A36" s="22"/><c r="B36" s="198" t="str"><f>Translation!A78</f><v>Accomodation and food service activities</v></c><c r="C36" s="223"><v>522</v></c><c r="D36" s="158"/><c r="E36" s="158"/><c r="F36" s="68"><f t="shared" si="0"/><v>522</v></c><c r="G36" s="158"><v>135.07687393471096</v></c><c r="H36" s="158"/><c r="I36" s="158"/><c r="J36" s="158"><v>105.86734686506458</v></c><c r="K36" s="158"/><c r="L36" s="158"/><c r="M36" s="68"><f t="shared" si="2"/><v>240.94422079977554</v></c><c r="N36" s="158"/><c r="O36" s="158"/><c r="P36" s="158"><v>22.37142857142857</v></c><c r="Q36" s="158"/><c r="R36" s="158"/><c r="S36" s="158"><v>7.4571428571428573</v></c><c r="T36" s="68"><f t="shared" si="6"/><v>29.828571428571429</v></c><c r="U36" s="68"><f t="shared" si="7"/><v>792.77279222834693</v></c></row><row r="37" spans="1:21" s="21" customFormat="1" ht="15.75"><c r="A37" s="22"/><c r="B37" s="198" t="str"><f>Translation!A79</f><v>General public administration and social security</v></c><c r="C37" s="223"><v>825</v></c><c r="D37" s="158"/><c r="E37" s="158"/><c r="F37" s="68"><f t="shared" si="0"/><v>825</v></c><c r="G37" s="158"><v>213.48356512669838</v></c><c r="H37" s="158"/><c r="I37" s="158"/><c r="J37" s="158"><v>167.31908268903882</v></c><c r="K37" s="158"/><c r="L37" s="158"/><c r="M37" s="68"><f t="shared" si="2"/><v>380.8026478157372</v></c><c r="N37" s="158"/><c r="O37" s="158"/><c r="P37" s="158"><v>35.357142857142854</v></c><c r="Q37" s="158"/><c r="R37" s="158"/><c r="S37" s="158"><v>11.785714285714286</v></c><c r="T37" s="68"><f t="shared" si="6"/><v>47.142857142857139</v></c><c r="U37" s="68"><f t="shared" si="7"/><v>1252.9455049585943</v></c></row><row r="38" spans="1:21" s="21" customFormat="1" ht="15.75"><c r="A38" s="22"/><c r="B38" s="198" t="str"><f>Translation!A80</f><v>Defense, justice, police and fire departments</v></c><c r="C38" s="223"><v>217</v></c><c r="D38" s="158"/><c r="E38" s="158"/><c r="F38" s="68"><f t="shared" si="0"/><v>217</v></c><c r="G38" s="158"><v>56.152646827264903</v></c><c r="H38" s="158"/><c r="I38" s="158"/><c r="J38" s="158"><v>44.00998902245022</v></c><c r="K38" s="158"/><c r="L38" s="158"/><c r="M38" s="68"><f t="shared" si="2"/><v>100.16263584971512</v></c><c r="N38" s="158"/><c r="O38" s="158"/><c r="P38" s="158"><v>9.3000000000000007</v></c><c r="Q38" s="158"/><c r="R38" s="158"/><c r="S38" s="158"><v>3.1</v></c><c r="T38" s="68"><f t="shared" si="6"/><v>12.4</v></c><c r="U38" s="68"><f t="shared" si="7"/><v>329.56263584971509</v></c></row><row r="39" spans="1:21" s="21" customFormat="1" ht="15.75"><c r="A39" s="22"/><c r="B39" s="198" t="str"><f>Translation!A81</f><v>Education</v></c><c r="C39" s="223"><v>642</v></c><c r="D39" s="158"/><c r="E39" s="158"/><c r="F39" s="68"><f t="shared" si="0"/><v>642</v></c><c r="G39" s="158"><v>166.12902886223074</v></c><c r="H39" s="158"/><c r="I39" s="158"/><c r="J39" s="158"><v>130.20466798347022</v></c><c r="K39" s="158"/><c r="L39" s="158"/><c r="M39" s="68"><f t="shared" si="2"/><v>296.33369684570096</v></c><c r="N39" s="158"/><c r="O39" s="158"/><c r="P39" s="158"><v>27.514285714285716</v></c><c r="Q39" s="158"/><c r="R39" s="158"/><c r="S39" s="158"><v>9.1714285714285708</v></c><c r="T39" s="68"><f t="shared" si="6"/><v>36.685714285714283</v></c><c r="U39" s="68"><f t="shared" si="7"/><v>975.01941113141527</v></c></row><row r="40" spans="1:21" s="21" customFormat="1" ht="15.75"><c r="A40" s="22"/><c r="B40" s="198" t="str"><f>Translation!A82</f><v>Human health and social work activities</v></c><c r="C40" s="223"><v>372</v></c><c r="D40" s="158"/><c r="E40" s="158"/><c r="F40" s="68"><f t="shared" si="0"/><v>372</v></c><c r="G40" s="158"><v>96.261680275311264</v></c><c r="H40" s="158"/><c r="I40" s="158"/><c r="J40" s="158"><v>75.445695467057504</v></c><c r="K40" s="158"/><c r="L40" s="158"/><c r="M40" s="68"><f t="shared" si="2"/><v>171.70737574236875</v></c><c r="N40" s="158"/><c r="O40" s="158"/><c r="P40" s="158"><v>15.942857142857143</v></c><c r="Q40" s="158"/><c r="R40" s="158"/><c r="S40" s="158"><v>5.3142857142857141</v></c><c r="T40" s="68"><f t="shared" si="6"/><v>21.257142857142856</v></c><c r="U40" s="68"><f t="shared" si="7"/><v>564.96451859951162</v></c></row><row r="41" spans="1:21" s="21" customFormat="1" ht="15.75"><c r="A41" s="22"/><c r="B41" s="198" t="str"><f>Translation!A83</f><v>Other services</v></c><c r="C41" s="223"><v>10397</v></c><c r="D41" s="158"/><c r="E41" s="158"/><c r="F41" s="68"><f t="shared" si="0"/><v>10397</v></c><c r="G41" s="158"><v>2690.4104565118582</v></c><c r="H41" s="158"/><c r="I41" s="158"/><c r="J41" s="158"><v>2108.6260639005295</v></c><c r="K41" s="158"/><c r="L41" s="158"/><c r="M41" s="68"><f t="shared" si="2"/><v>4799.0365204123882</v></c><c r="N41" s="158"/><c r="O41" s="158"/><c r="P41" s="158"><v>445.58571428571429</v></c><c r="Q41" s="158"/><c r="R41" s="158"/><c r="S41" s="158"><v>148.52857142857144</v></c><c r="T41" s="68"><f t="shared" si="6"/><v>594.11428571428576</v></c><c r="U41" s="68"><f t="shared" si="7"/><v>15790.150806126674</v></c></row><row r="42" spans="1:21" s="21" customFormat="1" ht="15.75"><c r="A42" s="22"/><c r="B42" s="198" t="str"><f>Translation!A84</f><v>Public lighting</v></c><c r="C42" s="223"><v>2436</v></c><c r="D42" s="158"/><c r="E42" s="158"/><c r="F42" s="68"><f t="shared" si="0"/><v>2436</v></c><c r="G42" s="158"/><c r="H42" s="158"/><c r="I42" s="158"/><c r="J42" s="158"/><c r="K42" s="158"/><c r="L42" s="158"/><c r="M42" s="68"><f t="shared" si="2"/><v>0</v></c><c r="N42" s="158"/><c r="O42" s="158"/><c r="P42" s="158"/><c r="Q42" s="158"/><c r="R42" s="158"/><c r="S42" s="158"/><c r="T42" s="68"><f t="shared" si="6"/><v>0</v></c><c r="U42" s="68"><f t="shared" si="7"/><v>2436</v></c></row><row r="43" spans="1:21" s="21" customFormat="1" ht="15.75"><c r="A43" s="22"/><c r="B43" s="65" t="str"><f>Translation!A85</f><v>TRANSPORTS</v></c><c r="C43" s="124"><f>SUM(C44:C47)</f><v>0</v></c><c r="D43" s="124"><f>SUM(D44:D47)</f><v>0</v></c><c r="E43" s="124"><f>SUM(E44:E47)</f><v>0</v></c><c r="F43" s="68"><f t="shared" si="0"/><v>0</v></c><c r="G43" s="124"><f t="shared" ref="G43:L43" si="14">SUM(G44:G47)</f><v>0</v></c><c r="H43" s="124"><f t="shared" si="14"/><v>91468</v></c><c r="I43" s="124"><f t="shared" si="14"/><v>84811</v></c><c r="J43" s="124"><f t="shared" si="14"/><v>0</v></c><c r="K43" s="124"><f t="shared" si="14"/><v>0</v></c><c r="L43" s="124"><f t="shared" si="14"/><v>0</v></c><c r="M43" s="68"><f t="shared" si="2"/><v>176279</v></c><c r="N43" s="124"><f t="shared" ref="N43:S43" si="15">SUM(N44:N47)</f><v>0</v></c><c r="O43" s="124"><f t="shared" si="15"/><v>0</v></c><c r="P43" s="124"><f t="shared" si="15"/><v>0</v></c><c r="Q43" s="124"><f t="shared" si="15"/><v>0</v></c><c r="R43" s="124"><f t="shared" si="15"/><v>0</v></c><c r="S43" s="124"><f t="shared" si="15"/><v>0</v></c><c r="T43" s="68"><f t="shared" si="6"/><v>0</v></c><c r="U43" s="68"><f t="shared" si="7"/><v>176279</v></c></row><row r="44" spans="1:21" s="21" customFormat="1" ht="30"><c r="A44" s="22"/><c r="B44" s="198" t="str"><f>Translation!A86</f><v>Passenger road transport and other passenger road transport services (public transports, taxi, tourism, school buses, etc.)</v></c><c r="C44" s="158"/><c r="D44" s="158"/><c r="E44" s="158"/><c r="F44" s="68"><f t="shared" si="0"/><v>0</v></c><c r="G44" s="158"/><c r="H44" s="158"><v>1829.3600000000001</v></c><c r="I44" s="158"><v>1696.22</v></c><c r="J44" s="158"/><c r="K44" s="158"/><c r="L44" s="158"/><c r="M44" s="68"><f t="shared" si="2"/><v>3525.58</v></c><c r="N44" s="158"/><c r="O44" s="158"/><c r="P44" s="158"/><c r="Q44" s="158"/><c r="R44" s="158"/><c r="S44" s="158"/><c r="T44" s="68"><f t="shared" si="6"/><v>0</v></c><c r="U44" s="68"><f t="shared" si="7"/><v>3525.58</v></c></row><row r="45" spans="1:21" s="21" customFormat="1" ht="15.75"><c r="A45" s="22"/><c r="B45" s="198" t="str"><f>Translation!A87</f><v>Freight transport by road and removal services</v></c><c r="C45" s="158"/><c r="D45" s="158"/><c r="E45" s="158"/><c r="F45" s="68"><f t="shared" si="0"/><v>0</v></c><c r="G45" s="158"/><c r="H45" s="158"><v>29269.760000000002</v></c><c r="I45" s="158"><v>27139.52</v></c><c r="J45" s="158"/><c r="K45" s="158"/><c r="L45" s="158"/><c r="M45" s="68"><f t="shared" si="2"/><v>56409.279999999999</v></c><c r="N45" s="158"/><c r="O45" s="158"/><c r="P45" s="158"/><c r="Q45" s="158"/><c r="R45" s="158"/><c r="S45" s="158"/><c r="T45" s="68"><f t="shared" si="6"/><v>0</v></c><c r="U45" s="68"><f t="shared" si="7"/><v>56409.279999999999</v></c></row><row r="46" spans="1:21" s="21" customFormat="1" ht="15.75"><c r="A46" s="22"/><c r="B46" s="198" t="str"><f>Translation!A88</f><v>Other fleet for public and private services</v></c><c r="C46" s="158"/><c r="D46" s="158"/><c r="E46" s="158"/><c r="F46" s="68"><f t="shared" si="0"/><v>0</v></c><c r="G46" s="158"/><c r="H46" s="158"><v>0</v></c><c r="I46" s="158"><v>0</v></c><c r="J46" s="158"/><c r="K46" s="158"/><c r="L46" s="158"/><c r="M46" s="68"><f t="shared" si="2"/><v>0</v></c><c r="N46" s="158"/><c r="O46" s="158"/><c r="P46" s="158"/><c r="Q46" s="158"/><c r="R46" s="158"/><c r="S46" s="158"/><c r="T46" s="68"><f t="shared" si="6"/><v>0</v></c><c r="U46" s="68"><f t="shared" si="7"/><v>0</v></c></row><row r="47" spans="1:21" s="21" customFormat="1" ht="15.75"><c r="A47" s="22"/><c r="B47" s="197" t="str"><f>Translation!A89</f><v>Private transports</v></c><c r="C47" s="158"/><c r="D47" s="158"/><c r="E47" s="158"/><c r="F47" s="68"><f t="shared" si="0"/><v>0</v></c><c r="G47" s="158"/><c r="H47" s="158"><v>60368.880000000005</v></c><c r="I47" s="158"><v>55975.26</v></c><c r="J47" s="158"/><c r="K47" s="158"/><c r="L47" s="158"/><c r="M47" s="68"><f t="shared" si="2"/><v>116344.14000000001</v></c><c r="N47" s="158"/><c r="O47" s="158"/><c r="P47" s="158"/><c r="Q47" s="158"/><c r="R47" s="158"/><c r="S47" s="158"/><c r="T47" s="68"><f t="shared" si="6"/><v>0</v></c><c r="U47" s="68"><f t="shared" si="7"/><v>116344.14000000001</v></c></row><row r="48" spans="1:21" s="21" customFormat="1" ht="15.75"><c r="A48" s="22"/><c r="B48" s="77" t="str"><f>Translation!A117</f><v>TOTAL FOR INTERNAL MARKET</v></c><c r="C48" s="159"><f>C17+C27+C30+C34+C43</f><v>100556.76000000001</v></c><c r="D48" s="159"><f>D17+D27+D30+D34+D43</f><v>0</v></c><c r="E48" s="159"><f>E17+E27+E30+E34+E43</f><v>0</v></c><c r="F48" s="68"><f t="shared" si="0"/><v>100556.76000000001</v></c><c r="G48" s="69"><f t="shared" ref="G48:L48" si="16">G17+G27+G30+G34+G43</f><v>32582.299484156618</v></c><c r="H48" s="69"><f t="shared" si="16"/><v>91488</v></c><c r="I48" s="69"><f t="shared" si="16"/><v>84811</v></c><c r="J48" s="69"><f t="shared" si="16"/><v>14876.875000000002</v></c><c r="K48" s="69"><f t="shared" si="16"/><v>0</v></c><c r="L48" s="69"><f t="shared" si="16"/><v>0</v></c><c r="M48" s="68"><f t="shared" si="2"/><v>223758.17448415663</v></c><c r="N48" s="69"><f t="shared" ref="N48:S48" si="17">N17+N27+N30+N34+N43</f><v>240</v></c><c r="O48" s="69"><f t="shared" si="17"/><v>0</v></c><c r="P48" s="69"><f t="shared" si="17"/><v>7095.8438214285707</v></c><c r="Q48" s="69"><f t="shared" si="17"/><v>126.49162500000001</v></c><c r="R48" s="69"><f t="shared" si="17"/><v>0</v></c><c r="S48" s="69"><f t="shared" si="17"/><v>4893.592232142857</v></c><c r="T48" s="68"><f t="shared" si="6"/><v>12355.927678571428</v></c><c r="U48" s="68"><f t="shared" si="7"/><v>336670.8621627281</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4" t="str"><f>Translation!A120</f><v>PRODUCTION SECTOR</v></c><c r="C55" s="276" t="str"><f>Translation!A121</f><v>ENERGY SOURCE</v></c><c r="D55" s="277"/><c r="E55" s="277"/><c r="F55" s="277"/><c r="G55" s="277"/><c r="H55" s="277"/><c r="I55" s="277"/><c r="J55" s="277"/><c r="K55" s="277"/><c r="L55" s="277"/><c r="M55" s="277"/><c r="N55" s="277"/><c r="O55" s="277"/><c r="P55" s="277"/><c r="Q55" s="277"/><c r="R55" s="277"/><c r="S55" s="278"/><c r="T55" s="276" t="str"><f>Translation!A138</f><v>SECONDARY ENERGY CONVERSION</v></c><c r="U55" s="277"/><c r="V55" s="278"/><c r="W55" s="295" t="str"><f>Translation!A129</f><v>ENERGY FLUXES</v></c><c r="X55" s="296"/><c r="Y55" s="296"/><c r="Z55" s="296"/><c r="AA55" s="296"/><c r="AB55" s="297"/><c r="AC55" s="307" t="str"><f>Translation!A118</f><v>TOTAL</v></c><c r="AD55" s="249" t="str"><f>Translation!A137</f><v>Distribution losses and self-consumption</v></c></row><row r="56" spans="2:32" s="55" customFormat="1" ht="18" customHeight="1"><c r="B56" s="275"/><c r="C56" s="311" t="str"><f>Translation!A98</f><v>Fossil fuels</v></c><c r="D56" s="312"/><c r="E56" s="312"/><c r="F56" s="312"/><c r="G56" s="312"/><c r="H56" s="312"/><c r="I56" s="313"/><c r="J56" s="311" t="str"><f>Translation!A106</f><v>Renewable energy sources (from systems connected to public networks)</v></c><c r="K56" s="312"/><c r="L56" s="312"/><c r="M56" s="312"/><c r="N56" s="312"/><c r="O56" s="312"/><c r="P56" s="312"/><c r="Q56" s="312"/><c r="R56" s="313"/><c r="S56" s="249" t="str"><f>Translation!A116</f><v>Subtotal</v></c><c r="T56" s="305" t="str"><f>Translation!A139</f><v>Electricity conversion to cold</v></c><c r="U56" s="305" t="str"><f>Translation!A140</f><v>Heat conversion to cold</v></c><c r="V56" s="249" t="str"><f>Translation!A116</f><v>Subtotal</v></c><c r="W56" s="309" t="str"><f>Translation!A130</f><v>Storage</v></c><c r="X56" s="310"/><c r="Y56" s="308" t="str"><f>Translation!A133</f><v>External connection</v></c><c r="Z56" s="308"/><c r="AA56" s="274" t="str"><f>Translation!A136</f><v>Reexportation and external consumption</v></c><c r="AB56" s="249" t="str"><f>Translation!A116</f><v>Subtotal</v></c><c r="AC56" s="307"/><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306"/><c r="U57" s="306"/><c r="V57" s="249"/><c r="W57" s="117" t="str"><f>Translation!A131</f><v>Input to storage</v></c><c r="X57" s="117" t="str"><f>Translation!A132</f><v>Output from storage</v></c><c r="Y57" s="117" t="str"><f>Translation!A134</f><v>Import to island</v></c><c r="Z57" s="117" t="str"><f>Translation!A135</f><v>Export from island</v></c><c r="AA57" s="275"/><c r="AB57" s="249"/><c r="AC57" s="307"/><c r="AD57" s="249"/></row><row r="58" spans="2:32" s="55" customFormat="1" ht="15.75"><c r="B58" s="199" t="str"><f>Translation!A123</f><v>Electricity</v></c><c r="C58" s="164"><v>99149</v></c><c r="D58" s="164"><v>1408</v></c><c r="E58" s="164"/><c r="F58" s="164"/><c r="G58" s="164"/><c r="H58" s="164"/><c r="I58" s="63"><f>SUM(C58:H58)</f><v>100557</v></c><c r="J58" s="164"/><c r="K58" s="164"/><c r="L58" s="164"/><c r="M58" s="164"/><c r="N58" s="164"/><c r="O58" s="164"/><c r="P58" s="164"/><c r="Q58" s="164"/><c r="R58" s="63"><f>SUM(J58:Q58)</f><v>0</v></c><c r="S58" s="63"><f>I58+R58</f><v>100557</v></c><c r="T58" s="164"/><c r="U58" s="164"/><c r="V58" s="63"><f>-T58</f><v>0</v></c><c r="W58" s="164"/><c r="X58" s="164"/><c r="Y58" s="164"/><c r="Z58" s="164"/><c r="AA58" s="201"><f>$C$49+$C$50+$C$51</f><v>0</v></c><c r="AB58" s="63"><f>-SUM(W58)+SUM(X58:Y58)-SUM(Z58:AA58)</f><v>0</v></c><c r="AC58" s="68"><f>S58+V58+AB58</f><v>100557</v></c><c r="AD58" s="202"><f>AC58-C48</f><v>0.23999999999068677</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99149</v></c><c r="D61" s="57"><f t="shared" si="20"/><v>1408</v></c><c r="E61" s="57"><f t="shared" si="20"/><v>0</v></c><c r="F61" s="57"><f t="shared" si="20"/><v>0</v></c><c r="G61" s="57"><f t="shared" si="20"/><v>0</v></c><c r="H61" s="57"><f t="shared" si="20"/><v>0</v></c><c r="I61" s="57"><f t="shared" si="20"/><v>100557</v></c><c r="J61" s="57"><f t="shared" si="20"/><v>0</v></c><c r="K61" s="57"><f t="shared" si="20"/><v>0</v></c><c r="L61" s="57"><f t="shared" si="20"/><v>0</v></c><c r="M61" s="57"><f t="shared" si="20"/><v>0</v></c><c r="N61" s="57"><f t="shared" si="20"/><v>0</v></c><c r="O61" s="57"><f t="shared" si="20"/><v>0</v></c><c r="P61" s="57"><f t="shared" si="20"/><v>0</v></c><c r="Q61" s="57"><f t="shared" si="20"/><v>0</v></c><c r="R61" s="57"><f t="shared" si="20"/><v>0</v></c><c r="S61" s="57"><f t="shared" si="20"/><v>100557</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100557</v></c><c r="AD61" s="57"><f t="shared" si="20"/><v>0.23999999999068677</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4" t="str"><f>Translation!A120</f><v>PRODUCTION SECTOR</v></c><c r="C64" s="302" t="str"><f>Translation!A142</f><v>PRIMARY ENERGY SOURCE</v></c><c r="D64" s="303"/><c r="E64" s="303"/><c r="F64" s="303"/><c r="G64" s="303"/><c r="H64" s="303"/><c r="I64" s="303"/><c r="J64" s="303"/><c r="K64" s="303"/><c r="L64" s="303"/><c r="M64" s="303"/><c r="N64" s="303"/><c r="O64" s="303"/><c r="P64" s="303"/><c r="Q64" s="303"/><c r="R64" s="303"/><c r="S64" s="304"/><c r="T64" s="298" t="str"><f>Translation!A127</f><v>Conversion losses from primary to secondary energy</v></c><c r="U64" s="61"/><c r="V64" s="61"/><c r="W64" s="72"/><c r="X64" s="61"/><c r="Y64" s="61"/><c r="Z64" s="61"/><c r="AA64" s="61"/><c r="AB64" s="61"/><c r="AC64" s="61"/><c r="AD64" s="61"/><c r="AE64" s="61"/></row><row r="65" spans="2:32" s="55" customFormat="1" ht="15" customHeight="1"><c r="B65" s="275"/><c r="C65" s="302" t="str"><f>Translation!A98</f><v>Fossil fuels</v></c><c r="D65" s="303"/><c r="E65" s="303"/><c r="F65" s="303"/><c r="G65" s="303"/><c r="H65" s="303"/><c r="I65" s="304"/><c r="J65" s="302" t="str"><f>Translation!A107</f><v>Renewable energy sources</v></c><c r="K65" s="303"/><c r="L65" s="303"/><c r="M65" s="303"/><c r="N65" s="303"/><c r="O65" s="303"/><c r="P65" s="303"/><c r="Q65" s="303"/><c r="R65" s="304"/><c r="S65" s="301" t="str"><f>Translation!A118</f><v>TOTAL</v></c><c r="T65" s="29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1"/><c r="T66" s="300"/><c r="U66" s="61"/><c r="V66" s="61"/><c r="W66" s="72"/><c r="X66" s="61"/><c r="Y66" s="61"/><c r="Z66" s="61"/><c r="AA66" s="61"/><c r="AB66" s="61"/><c r="AC66" s="61"/><c r="AD66" s="61"/><c r="AE66" s="61"/></row><row r="67" spans="2:32" s="55" customFormat="1" ht="15.75"><c r="B67" s="199" t="str"><f>Translation!A123</f><v>Electricity</v></c><c r="C67" s="164"><v>309616.90743332275</v></c><c r="D67" s="164"><v>5632</v></c><c r="E67" s="164"/><c r="F67" s="164"/><c r="G67" s="164"/><c r="H67" s="164"/><c r="I67" s="63"><f>SUM(C67:H67)</f><v>315248.90743332275</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315248.90743332275</v></c><c r="T67" s="75"><f>S67-AC58+AB58</f><v>214691.90743332275</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309616.90743332275</v></c><c r="D70" s="57"><f t="shared" si="23"/><v>5632</v></c><c r="E70" s="57"><f t="shared" si="23"/><v>0</v></c><c r="F70" s="57"><f t="shared" si="23"/><v>0</v></c><c r="G70" s="57"><f t="shared" si="23"/><v>0</v></c><c r="H70" s="57"><f t="shared" si="23"/><v>0</v></c><c r="I70" s="57"><f t="shared" si="23"/><v>315248.90743332275</v></c><c r="J70" s="57"><f t="shared" si="23"/><v>0</v></c><c r="K70" s="57"><f t="shared" si="23"/><v>0</v></c><c r="L70" s="57"><f t="shared" si="23"/><v>0</v></c><c r="M70" s="57"><f t="shared" si="23"/><v>0</v></c><c r="N70" s="57"><f t="shared" si="23"/><v>0</v></c><c r="O70" s="57"><f t="shared" si="23"/><v>0</v></c><c r="P70" s="57"><f t="shared" si="23"/><v>0</v></c><c r="Q70" s="57"><f t="shared" si="23"/><v>0</v></c><c r="R70" s="57"><f t="shared" si="23"/><v>0</v></c><c r="S70" s="57"><f t="shared" si="23"/><v>315248.90743332275</v></c><c r="T70" s="75"><f>S70-AC61+AB61</f><v>214691.90743332275</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7" t="str"><f>Translation!A122</f><v>Energy product</v></c><c r="C73" s="276" t="str"><f>Translation!A142</f><v>PRIMARY ENERGY SOURCE</v></c><c r="D73" s="277"/><c r="E73" s="277"/><c r="F73" s="277"/><c r="G73" s="277"/><c r="H73" s="277"/><c r="I73" s="277"/><c r="J73" s="277"/><c r="K73" s="277"/><c r="L73" s="277"/><c r="M73" s="277"/><c r="N73" s="277"/><c r="O73" s="277"/><c r="P73" s="277"/><c r="Q73" s="277"/><c r="R73" s="277"/><c r="S73" s="277"/><c r="T73" s="277"/><c r="U73" s="277"/><c r="V73" s="277"/><c r="W73" s="277"/><c r="X73" s="277"/><c r="Y73" s="278"/></row><row r="74" spans="2:32" s="55" customFormat="1" ht="15" customHeight="1"><c r="B74" s="318"/><c r="C74" s="276" t="str"><f>Translation!A98</f><v>Fossil fuels</v></c><c r="D74" s="277"/><c r="E74" s="277"/><c r="F74" s="277"/><c r="G74" s="277"/><c r="H74" s="277"/><c r="I74" s="278"/><c r="J74" s="276" t="str"><f>Translation!A107</f><v>Renewable energy sources</v></c><c r="K74" s="277"/><c r="L74" s="277"/><c r="M74" s="277"/><c r="N74" s="277"/><c r="O74" s="277"/><c r="P74" s="277"/><c r="Q74" s="277"/><c r="R74" s="278"/><c r="S74" s="295" t="str"><f>Translation!A123</f><v>Electricity</v></c><c r="T74" s="296"/><c r="U74" s="296"/><c r="V74" s="297"/><c r="W74" s="74" t="str"><f>Translation!A124</f><v>Heat</v></c><c r="X74" s="74" t="str"><f>Translation!A125</f><v>Cold</v></c><c r="Y74" s="274" t="str"><f>Translation!A118</f><v>TOTAL</v></c></row><row r="75" spans="2:32" s="55" customFormat="1" ht="46.5" customHeight="1"><c r="B75" s="319"/><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5"/></row><row r="76" spans="2:32" s="55" customFormat="1" ht="15.75"><c r="B76" s="114" t="str"><f>Translation!A118</f><v>TOTAL</v></c><c r="C76" s="201"><f t="shared" ref="C76:H76" si="24">G48+C70</f><v>342199.20691747934</v></c><c r="D76" s="201"><f t="shared" si="24"/><v>97120</v></c><c r="E76" s="201"><f t="shared" si="24"/><v>84811</v></c><c r="F76" s="201"><f t="shared" si="24"/><v>14876.875000000002</v></c><c r="G76" s="201"><f t="shared" si="24"/><v>0</v></c><c r="H76" s="201"><f t="shared" si="24"/><v>0</v></c><c r="I76" s="57"><f>SUM(C76:H76)</f><v>539007.0819174794</v></c><c r="J76" s="201"><f t="shared" ref="J76:O76" si="25">N48+J70</f><v>240</v></c><c r="K76" s="201"><f t="shared" si="25"/><v>0</v></c><c r="L76" s="201"><f t="shared" si="25"/><v>7095.8438214285707</v></c><c r="M76" s="201"><f t="shared" si="25"/><v>126.49162500000001</v></c><c r="N76" s="201"><f t="shared" si="25"/><v>0</v></c><c r="O76" s="201"><f t="shared" si="25"/><v>4893.592232142857</v></c><c r="P76" s="201"><f>P70</f><v>0</v></c><c r="Q76" s="201"><f>Q70</f><v>0</v></c><c r="R76" s="57"><f>SUM(J76:Q76)</f><v>12355.927678571428</v></c><c r="S76" s="201"><f>Y61</f><v>0</v></c><c r="T76" s="201"><f>Z61</f><v>0</v></c><c r="U76" s="201"><f>$C$49+$C$50+$C$51</f><v>0</v></c><c r="V76" s="57"><f>S76-T76-U76</f><v>0</v></c><c r="W76" s="201"><f>$D$49+$D$50+$D$51</f><v>0</v></c><c r="X76" s="201"><f>$E$49+$E$50+$E$51</f><v>0</v></c><c r="Y76" s="57"><f>I76+R76+V76-W76-X76</f><v>551363.00959605083</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4" t="str"><f>Translation!A120</f><v>PRODUCTION SECTOR</v></c><c r="C79" s="302" t="str"><f>Translation!A142</f><v>PRIMARY ENERGY SOURCE</v></c><c r="D79" s="303"/><c r="E79" s="303"/><c r="F79" s="303"/><c r="G79" s="303"/><c r="H79" s="303"/><c r="I79" s="303"/><c r="J79" s="303"/><c r="K79" s="303"/><c r="L79" s="303"/><c r="M79" s="303"/><c r="N79" s="303"/><c r="O79" s="303"/><c r="P79" s="303"/><c r="Q79" s="303"/><c r="R79" s="303"/><c r="S79" s="304"/><c r="T79" s="72"/><c r="V79" s="61"/><c r="W79" s="61"/><c r="X79" s="72"/><c r="Y79" s="61"/><c r="Z79" s="61"/><c r="AA79" s="61"/><c r="AB79" s="61"/><c r="AC79" s="61"/><c r="AD79" s="61"/><c r="AE79" s="61"/><c r="AF79" s="61"/></row><row r="80" spans="2:32" s="55" customFormat="1" ht="15" customHeight="1"><c r="B80" s="275"/><c r="C80" s="302" t="str"><f>Translation!A98</f><v>Fossil fuels</v></c><c r="D80" s="303"/><c r="E80" s="303"/><c r="F80" s="303"/><c r="G80" s="303"/><c r="H80" s="303"/><c r="I80" s="304"/><c r="J80" s="302" t="str"><f>Translation!A107</f><v>Renewable energy sources</v></c><c r="K80" s="303"/><c r="L80" s="303"/><c r="M80" s="303"/><c r="N80" s="303"/><c r="O80" s="303"/><c r="P80" s="303"/><c r="Q80" s="303"/><c r="R80" s="304"/><c r="S80" s="30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1"/><c r="T81" s="72"/><c r="V81" s="61"/><c r="W81" s="61"/><c r="X81" s="72"/><c r="Y81" s="61"/><c r="Z81" s="61"/><c r="AA81" s="61"/><c r="AB81" s="61"/><c r="AC81" s="61"/><c r="AD81" s="61"/><c r="AE81" s="61"/><c r="AF81" s="61"/></row><row r="82" spans="1:32" s="55" customFormat="1" ht="15.75"><c r="B82" s="199" t="str"><f>Translation!A123</f><v>Electricity</v></c><c r="C82" s="203"><f t="shared" ref="C82:P82" si="26">IF(C67&gt;0,C58/C67,"-")</f><v>0.32023121999999998</v></c><c r="D82" s="203"><f t="shared" si="26"/><v>0.25</v></c><c r="E82" s="203" t="str"><f t="shared" si="26"/><v>-</v></c><c r="F82" s="203" t="str"><f t="shared" si="26"/><v>-</v></c><c r="G82" s="203" t="str"><f t="shared" si="26"/><v>-</v></c><c r="H82" s="203" t="str"><f t="shared" si="26"/><v>-</v></c><c r="I82" s="71"><f t="shared" si="26"/><v>0.3189765218179812</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0.3189765218179812</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5" t="str"><f>Translation!A56</f><v>DEMAND SECTOR</v></c><c r="C88" s="279" t="str"><f>Translation!A93</f><v>ENERGY FOR FINAL USE</v></c><c r="D88" s="280"/><c r="E88" s="280"/><c r="F88" s="280"/><c r="G88" s="280"/><c r="H88" s="280"/><c r="I88" s="280"/><c r="J88" s="280"/><c r="K88" s="280"/><c r="L88" s="280"/><c r="M88" s="280"/><c r="N88" s="280"/><c r="O88" s="280"/><c r="P88" s="280"/><c r="Q88" s="280"/><c r="R88" s="280"/><c r="S88" s="280"/><c r="T88" s="280"/><c r="U88" s="281"/></row><row r="89" spans="1:32" s="55" customFormat="1" ht="18" customHeight="1"><c r="B89" s="306"/><c r="C89" s="279" t="str"><f>Translation!A94</f><v>Centralized energy services</v></c><c r="D89" s="280"/><c r="E89" s="280"/><c r="F89" s="281"/><c r="G89" s="279" t="str"><f>Translation!A98</f><v>Fossil fuels</v></c><c r="H89" s="280"/><c r="I89" s="280"/><c r="J89" s="280"/><c r="K89" s="280"/><c r="L89" s="280"/><c r="M89" s="281"/><c r="N89" s="279" t="str"><f>Translation!A105</f><v>Renewable energy sources (excluding electricity and heat sold to public networks)</v></c><c r="O89" s="280"/><c r="P89" s="280"/><c r="Q89" s="280"/><c r="R89" s="280"/><c r="S89" s="280"/><c r="T89" s="281"/><c r="U89" s="288"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0"/></row><row r="91" spans="1:32" s="21" customFormat="1" ht="15.75"><c r="A91" s="22"/><c r="B91" s="70" t="str"><f>Translation!A59</f><v>RESIDENTIAL</v></c><c r="C91" s="68"><f>SUM(C92:C100)</f><v>31916.614094385015</v></c><c r="D91" s="68"><f>SUM(D92:D100)</f><v>0</v></c><c r="E91" s="68"><f>SUM(E92:E100)</f><v>0</v></c><c r="F91" s="68"><f t="shared" ref="F91:F122" si="30">SUM(C91:E91)</f><v>31916.614094385015</v></c><c r="G91" s="68"><f t="shared" ref="G91:L91" si="31">SUM(G92:G100)</f><v>4643.1507825000008</v></c><c r="H91" s="68"><f t="shared" si="31"/><v>0</v></c><c r="I91" s="68"><f t="shared" si="31"/><v>0</v></c><c r="J91" s="68"><f t="shared" si="31"/><v>571.94601428571423</v></c><c r="K91" s="68"><f t="shared" si="31"/><v>0</v></c><c r="L91" s="68"><f t="shared" si="31"/><v>0</v></c><c r="M91" s="68"><f t="shared" ref="M91:M122" si="32">SUM(G91:L91)</f><v>5215.096796785715</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37131.710891170733</v></c></row><row r="92" spans="1:32" s="21" customFormat="1" ht="15.75"><c r="A92" s="22"/><c r="B92" s="197" t="str"><f>Translation!A60</f><v>Hot water</v></c><c r="C92" s="200"><f t="shared" ref="C92:C100" si="36">IF(C$48&gt;0, ($S$128+$V$137)/C$48,0)*C18</f><v>957.50471564966074</v></c><c r="D92" s="200"><f t="shared" ref="D92:D100" si="37">IF(D$48&gt;0, ($S$129)/D$48,0)*D18</f><v>0</v></c><c r="E92" s="200"><f t="shared" ref="E92:E100" si="38">IF(E$48&gt;0, ($S$130)/E$48,0)*E18</f><v>0</v></c><c r="F92" s="68"><f t="shared" si="30"/><v>957.50471564966074</v></c><c r="G92" s="200"><f>'CO2 factors'!C$7*G18</f><v>267.44870250000002</v></c><c r="H92" s="200"><f>'CO2 factors'!D$7*H18</f><v>0</v></c><c r="I92" s="200"><f>'CO2 factors'!E$7*I18</f><v>0</v></c><c r="J92" s="200"><f>'CO2 factors'!F$7*J18</f><v>16.4331</v></c><c r="K92" s="200"><f>'CO2 factors'!G$7*K18</f><v>0</v></c><c r="L92" s="200"><f>'CO2 factors'!H$7*L18</f><v>0</v></c><c r="M92" s="68"><f t="shared" si="32"/><v>283.88180250000005</v></c><c r="N92" s="200"><f>'CO2 factors'!J$7*N18</f><v>0</v></c><c r="O92" s="200"><f>'CO2 factors'!K$7*O18</f><v>0</v></c><c r="P92" s="200"><f>'CO2 factors'!L$7*P18</f><v>0</v></c><c r="Q92" s="200"><f>'CO2 factors'!M$7*Q18</f><v>0</v></c><c r="R92" s="200"><f>'CO2 factors'!N$7*R18</f><v>0</v></c><c r="S92" s="200"><f>'CO2 factors'!O$7*S18</f><v>0</v></c><c r="T92" s="68"><f t="shared" si="34"/><v>0</v></c><c r="U92" s="68"><f t="shared" si="35"/><v>1241.3865181496608</v></c></row><row r="93" spans="1:32" s="21" customFormat="1" ht="15.75"><c r="A93" s="22"/><c r="B93" s="197" t="str"><f>Translation!A61</f><v>Heating and cooling</v></c><c r="C93" s="200"><f t="shared" si="36"/><v>22980.113175591858</v></c><c r="D93" s="200"><f t="shared" si="37"/><v>0</v></c><c r="E93" s="200"><f t="shared" si="38"/><v>0</v></c><c r="F93" s="68"><f t="shared" si="30"/><v>22980.113175591858</v></c><c r="G93" s="200"><f>'CO2 factors'!C$7*G19</f><v>4375.7020800000009</v></c><c r="H93" s="200"><f>'CO2 factors'!D$7*H19</f><v>0</v></c><c r="I93" s="200"><f>'CO2 factors'!E$7*I19</f><v>0</v></c><c r="J93" s="200"><f>'CO2 factors'!F$7*J19</f><v>442.82879999999994</v></c><c r="K93" s="200"><f>'CO2 factors'!G$7*K19</f><v>0</v></c><c r="L93" s="200"><f>'CO2 factors'!H$7*L19</f><v>0</v></c><c r="M93" s="68"><f t="shared" si="32"/><v>4818.5308800000012</v></c><c r="N93" s="200"><f>'CO2 factors'!J$7*N19</f><v>0</v></c><c r="O93" s="200"><f>'CO2 factors'!K$7*O19</f><v>0</v></c><c r="P93" s="200"><f>'CO2 factors'!L$7*P19</f><v>0</v></c><c r="Q93" s="200"><f>'CO2 factors'!M$7*Q19</f><v>0</v></c><c r="R93" s="200"><f>'CO2 factors'!N$7*R19</f><v>0</v></c><c r="S93" s="200"><f>'CO2 factors'!O$7*S19</f><v>0</v></c><c r="T93" s="68"><f t="shared" si="34"/><v>0</v></c><c r="U93" s="68"><f t="shared" si="35"/><v>27798.64405559186</v></c></row><row r="94" spans="1:32" s="21" customFormat="1" ht="15.75"><c r="A94" s="22"/><c r="B94" s="197" t="str"><f>Translation!A62</f><v>Lighting</v></c><c r="C94" s="200"><f t="shared" si="36"/><v>1276.6729541995478</v></c><c r="D94" s="200"><f t="shared" si="37"/><v>0</v></c><c r="E94" s="200"><f t="shared" si="38"/><v>0</v></c><c r="F94" s="68"><f t="shared" si="30"/><v>1276.6729541995478</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1276.6729541995478</v></c></row><row r="95" spans="1:32" s="21" customFormat="1" ht="15.75"><c r="A95" s="22"/><c r="B95" s="197" t="str"><f>Translation!A63</f><v>Cooking</v></c><c r="C95" s="200"><f t="shared" si="36"/><v>957.50471564966074</v></c><c r="D95" s="200"><f t="shared" si="37"/><v>0</v></c><c r="E95" s="200"><f t="shared" si="38"/><v>0</v></c><c r="F95" s="68"><f t="shared" si="30"/><v>957.50471564966074</v></c><c r="G95" s="200"><f>'CO2 factors'!C$7*G21</f><v>0</v></c><c r="H95" s="200"><f>'CO2 factors'!D$7*H21</f><v>0</v></c><c r="I95" s="200"><f>'CO2 factors'!E$7*I21</f><v>0</v></c><c r="J95" s="200"><f>'CO2 factors'!F$7*J21</f><v>112.68411428571427</v></c><c r="K95" s="200"><f>'CO2 factors'!G$7*K21</f><v>0</v></c><c r="L95" s="200"><f>'CO2 factors'!H$7*L21</f><v>0</v></c><c r="M95" s="68"><f t="shared" si="32"/><v>112.68411428571427</v></c><c r="N95" s="200"><f>'CO2 factors'!J$7*N21</f><v>0</v></c><c r="O95" s="200"><f>'CO2 factors'!K$7*O21</f><v>0</v></c><c r="P95" s="200"><f>'CO2 factors'!L$7*P21</f><v>0</v></c><c r="Q95" s="200"><f>'CO2 factors'!M$7*Q21</f><v>0</v></c><c r="R95" s="200"><f>'CO2 factors'!N$7*R21</f><v>0</v></c><c r="S95" s="200"><f>'CO2 factors'!O$7*S21</f><v>0</v></c><c r="T95" s="68"><f t="shared" si="34"/><v>0</v></c><c r="U95" s="68"><f t="shared" si="35"/><v>1070.188829935375</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5744.8185332942849</v></c><c r="D100" s="200"><f t="shared" si="37"/><v>0</v></c><c r="E100" s="200"><f t="shared" si="38"/><v>0</v></c><c r="F100" s="68"><f t="shared" si="30"/><v>5744.8185332942849</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5744.8185332942849</v></c></row><row r="101" spans="1:21" s="21" customFormat="1" ht="15.75"><c r="A101" s="22"/><c r="B101" s="70" t="str"><f>Translation!A69</f><v>PRIMARY SECTOR</v></c><c r="C101" s="68"><f>SUM(C102:C103)</f><v>3314.2175381487791</v></c><c r="D101" s="68"><f>SUM(D102:D103)</f><v>0</v></c><c r="E101" s="68"><f>SUM(E102:E103)</f><v>0</v></c><c r="F101" s="68"><f t="shared" si="30"/><v>3314.2175381487791</v></c><c r="G101" s="68"><f t="shared" ref="G101:L101" si="39">SUM(G102:G103)</f><v>273.69900000000001</v></c><c r="H101" s="68"><f t="shared" si="39"/><v>5.34</v></c><c r="I101" s="68"><f t="shared" si="39"/><v>0</v></c><c r="J101" s="68"><f t="shared" si="39"/><v>184.57424336198841</v></c><c r="K101" s="68"><f t="shared" si="39"/><v>0</v></c><c r="L101" s="68"><f t="shared" si="39"/><v>0</v></c><c r="M101" s="68"><f t="shared" si="32"/><v>463.6132433619884</v></c><c r="N101" s="68"><f t="shared" ref="N101:S101" si="40">SUM(N102:N103)</f><v>0</v></c><c r="O101" s="68"><f t="shared" si="40"/><v>0</v></c><c r="P101" s="68"><f t="shared" si="40"/><v>0</v></c><c r="Q101" s="68"><f t="shared" si="40"/><v>0</v></c><c r="R101" s="68"><f t="shared" si="40"/><v>0</v></c><c r="S101" s="68"><f t="shared" si="40"/><v>0</v></c><c r="T101" s="68"><f t="shared" si="34"/><v>0</v></c><c r="U101" s="68"><f t="shared" si="35"/><v>3777.8307815107673</v></c></row><row r="102" spans="1:21" s="21" customFormat="1" ht="15.75"><c r="A102" s="22"/><c r="B102" s="198" t="str"><f>Translation!A70</f><v>Agriculture, forestry and fishing</v></c><c r="C102" s="200"><f>IF(C$48&gt;0, ($S$128+$V$137)/C$48,0)*C28</f><v>3302.8555054494295</v></c><c r="D102" s="200"><f>IF(D$48&gt;0, ($S$129)/D$48,0)*D28</f><v>0</v></c><c r="E102" s="200"><f>IF(E$48&gt;0, ($S$130)/E$48,0)*E28</f><v>0</v></c><c r="F102" s="68"><f t="shared" si="30"/><v>3302.8555054494295</v></c><c r="G102" s="200"><f>'CO2 factors'!C$7*G28</f><v>272.86200000000002</v></c><c r="H102" s="200"><f>'CO2 factors'!D$7*H28</f><v>0</v></c><c r="I102" s="200"><f>'CO2 factors'!E$7*I28</f><v>0</v></c><c r="J102" s="200"><f>'CO2 factors'!F$7*J28</f><v>183.94147301290985</v></c><c r="K102" s="200"><f>'CO2 factors'!G$7*K28</f><v>0</v></c><c r="L102" s="200"><f>'CO2 factors'!H$7*L28</f><v>0</v></c><c r="M102" s="68"><f t="shared" si="32"/><v>456.80347301290988</v></c><c r="N102" s="200"><f>'CO2 factors'!J$7*N28</f><v>0</v></c><c r="O102" s="200"><f>'CO2 factors'!K$7*O28</f><v>0</v></c><c r="P102" s="200"><f>'CO2 factors'!L$7*P28</f><v>0</v></c><c r="Q102" s="200"><f>'CO2 factors'!M$7*Q28</f><v>0</v></c><c r="R102" s="200"><f>'CO2 factors'!N$7*R28</f><v>0</v></c><c r="S102" s="200"><f>'CO2 factors'!O$7*S28</f><v>0</v></c><c r="T102" s="68"><f t="shared" si="34"/><v>0</v></c><c r="U102" s="68"><f t="shared" si="35"/><v>3759.6589784623393</v></c></row><row r="103" spans="1:21" s="21" customFormat="1" ht="15.75"><c r="A103" s="22"/><c r="B103" s="198" t="str"><f>Translation!A71</f><v>Mining and quarrying</v></c><c r="C103" s="200"><f>IF(C$48&gt;0, ($S$128+$V$137)/C$48,0)*C29</f><v>11.362032699349719</v></c><c r="D103" s="200"><f>IF(D$48&gt;0, ($S$129)/D$48,0)*D29</f><v>0</v></c><c r="E103" s="200"><f>IF(E$48&gt;0, ($S$130)/E$48,0)*E29</f><v>0</v></c><c r="F103" s="68"><f t="shared" si="30"/><v>11.362032699349719</v></c><c r="G103" s="200"><f>'CO2 factors'!C$7*G29</f><v>0.83700000000000008</v></c><c r="H103" s="200"><f>'CO2 factors'!D$7*H29</f><v>5.34</v></c><c r="I103" s="200"><f>'CO2 factors'!E$7*I29</f><v>0</v></c><c r="J103" s="200"><f>'CO2 factors'!F$7*J29</f><v>0.63277034907854679</v></c><c r="K103" s="200"><f>'CO2 factors'!G$7*K29</f><v>0</v></c><c r="L103" s="200"><f>'CO2 factors'!H$7*L29</f><v>0</v></c><c r="M103" s="68"><f t="shared" si="32"/><v>6.8097703490785459</v></c><c r="N103" s="200"><f>'CO2 factors'!J$7*N29</f><v>0</v></c><c r="O103" s="200"><f>'CO2 factors'!K$7*O29</f><v>0</v></c><c r="P103" s="200"><f>'CO2 factors'!L$7*P29</f><v>0</v></c><c r="Q103" s="200"><f>'CO2 factors'!M$7*Q29</f><v>0</v></c><c r="R103" s="200"><f>'CO2 factors'!N$7*R29</f><v>0</v></c><c r="S103" s="200"><f>'CO2 factors'!O$7*S29</f><v>0</v></c><c r="T103" s="68"><f t="shared" si="34"/><v>0</v></c><c r="U103" s="68"><f t="shared" si="35"/><v>18.171803048428266</v></c></row><row r="104" spans="1:21" s="21" customFormat="1" ht="15.75"><c r="A104" s="22"/><c r="B104" s="65" t="str"><f>Translation!A72</f><v>SECONDARY SECTOR</v></c><c r="C104" s="68"><f>SUM(C105:C107)</f><v>32665.844010630441</v></c><c r="D104" s="68"><f>SUM(D105:D107)</f><v>0</v></c><c r="E104" s="68"><f>SUM(E105:E107)</f><v>0</v></c><c r="F104" s="68"><f t="shared" si="30"/><v>32665.844010630441</v></c><c r="G104" s="68"><f t="shared" ref="G104:L104" si="41">SUM(G105:G107)</f><v>2698.2090000000003</v></c><c r="H104" s="68"><f t="shared" si="41"/><v>0</v></c><c r="I104" s="68"><f t="shared" si="41"/><v>0</v></c><c r="J104" s="68"><f t="shared" si="41"/><v>1819.2147536008222</v></c><c r="K104" s="68"><f t="shared" si="41"/><v>0</v></c><c r="L104" s="68"><f t="shared" si="41"/><v>0</v></c><c r="M104" s="68"><f t="shared" si="32"/><v>4517.4237536008222</v></c><c r="N104" s="68"><f t="shared" ref="N104:S104" si="42">SUM(N105:N107)</f><v>0</v></c><c r="O104" s="68"><f t="shared" si="42"/><v>0</v></c><c r="P104" s="68"><f t="shared" si="42"/><v>0</v></c><c r="Q104" s="68"><f t="shared" si="42"/><v>0</v></c><c r="R104" s="68"><f t="shared" si="42"/><v>0</v></c><c r="S104" s="68"><f t="shared" si="42"/><v>0</v></c><c r="T104" s="68"><f t="shared" si="34"/><v>0</v></c><c r="U104" s="68"><f t="shared" si="35"/><v>37183.267764231263</v></c></row><row r="105" spans="1:21" s="21" customFormat="1" ht="15.75"><c r="A105" s="22"/><c r="B105" s="198" t="str"><f>Translation!A73</f><v>Manufacturing</v></c><c r="C105" s="200"><f>IF(C$48&gt;0, ($S$128+$V$137)/C$48,0)*C31</f><v>32317.991009527272</v></c><c r="D105" s="200"><f>IF(D$48&gt;0, ($S$129)/D$48,0)*D31</f><v>0</v></c><c r="E105" s="200"><f>IF(E$48&gt;0, ($S$130)/E$48,0)*E31</f><v>0</v></c><c r="F105" s="68"><f t="shared" si="30"/><v>32317.991009527272</v></c><c r="G105" s="200"><f>'CO2 factors'!C$7*G31</f><v>2669.4720000000002</v></c><c r="H105" s="200"><f>'CO2 factors'!D$7*H31</f><v>0</v></c><c r="I105" s="200"><f>'CO2 factors'!E$7*I31</f><v>0</v></c><c r="J105" s="200"><f>'CO2 factors'!F$7*J31</f><v>1799.8422459905712</v></c><c r="K105" s="200"><f>'CO2 factors'!G$7*K31</f><v>0</v></c><c r="L105" s="200"><f>'CO2 factors'!H$7*L31</f><v>0</v></c><c r="M105" s="68"><f t="shared" si="32"/><v>4469.3142459905712</v></c><c r="N105" s="200"><f>'CO2 factors'!J$7*N31</f><v>0</v></c><c r="O105" s="200"><f>'CO2 factors'!K$7*O31</f><v>0</v></c><c r="P105" s="200"><f>'CO2 factors'!L$7*P31</f><v>0</v></c><c r="Q105" s="200"><f>'CO2 factors'!M$7*Q31</f><v>0</v></c><c r="R105" s="200"><f>'CO2 factors'!N$7*R31</f><v>0</v></c><c r="S105" s="200"><f>'CO2 factors'!O$7*S31</f><v>0</v></c><c r="T105" s="68"><f t="shared" si="34"/><v>0</v></c><c r="U105" s="68"><f t="shared" si="35"/><v>36787.305255517844</v></c></row><row r="106" spans="1:21" s="21" customFormat="1" ht="30"><c r="A106" s="22"/><c r="B106" s="198" t="str"><f>Translation!A74</f><v>Water supply, sewerage, waste management and remediation activities</v></c><c r="C106" s="200"><f>IF(C$48&gt;0, ($S$128+$V$137)/C$48,0)*C32</f><v>35.83410312871834</v></c><c r="D106" s="200"><f>IF(D$48&gt;0, ($S$129)/D$48,0)*D32</f><v>0</v></c><c r="E106" s="200"><f>IF(E$48&gt;0, ($S$130)/E$48,0)*E32</f><v>0</v></c><c r="F106" s="68"><f t="shared" si="30"/><v>35.83410312871834</v></c><c r="G106" s="200"><f>'CO2 factors'!C$7*G32</f><v>3.0690000000000004</v></c><c r="H106" s="200"><f>'CO2 factors'!D$7*H32</f><v>0</v></c><c r="I106" s="200"><f>'CO2 factors'!E$7*I32</f><v>0</v></c><c r="J106" s="200"><f>'CO2 factors'!F$7*J32</f><v>1.9956603317092632</v></c><c r="K106" s="200"><f>'CO2 factors'!G$7*K32</f><v>0</v></c><c r="L106" s="200"><f>'CO2 factors'!H$7*L32</f><v>0</v></c><c r="M106" s="68"><f t="shared" si="32"/><v>5.0646603317092636</v></c><c r="N106" s="200"><f>'CO2 factors'!J$7*N32</f><v>0</v></c><c r="O106" s="200"><f>'CO2 factors'!K$7*O32</f><v>0</v></c><c r="P106" s="200"><f>'CO2 factors'!L$7*P32</f><v>0</v></c><c r="Q106" s="200"><f>'CO2 factors'!M$7*Q32</f><v>0</v></c><c r="R106" s="200"><f>'CO2 factors'!N$7*R32</f><v>0</v></c><c r="S106" s="200"><f>'CO2 factors'!O$7*S32</f><v>0</v></c><c r="T106" s="68"><f t="shared" si="34"/><v>0</v></c><c r="U106" s="68"><f t="shared" si="35"/><v>40.898763460427602</v></c></row><row r="107" spans="1:21" s="21" customFormat="1" ht="15.75"><c r="A107" s="22"/><c r="B107" s="198" t="str"><f>Translation!A75</f><v>Construction</v></c><c r="C107" s="200"><f>IF(C$48&gt;0, ($S$128+$V$137)/C$48,0)*C33</f><v>312.01889797444994</v></c><c r="D107" s="200"><f>IF(D$48&gt;0, ($S$129)/D$48,0)*D33</f><v>0</v></c><c r="E107" s="200"><f>IF(E$48&gt;0, ($S$130)/E$48,0)*E33</f><v>0</v></c><c r="F107" s="68"><f t="shared" si="30"/><v>312.01889797444994</v></c><c r="G107" s="80"><f>'CO2 factors'!C$7*G33</f><v>25.668000000000003</v></c><c r="H107" s="80"><f>'CO2 factors'!D$7*H33</f><v>0</v></c><c r="I107" s="80"><f>'CO2 factors'!E$7*I33</f><v>0</v></c><c r="J107" s="80"><f>'CO2 factors'!F$7*J33</f><v>17.376847278541632</v></c><c r="K107" s="80"><f>'CO2 factors'!G$7*K33</f><v>0</v></c><c r="L107" s="80"><f>'CO2 factors'!H$7*L33</f><v>0</v></c><c r="M107" s="68"><f t="shared" si="32"/><v>43.044847278541639</v></c><c r="N107" s="80"><f>'CO2 factors'!J$7*N33</f><v>0</v></c><c r="O107" s="80"><f>'CO2 factors'!K$7*O33</f><v>0</v></c><c r="P107" s="80"><f>'CO2 factors'!L$7*P33</f><v>0</v></c><c r="Q107" s="80"><f>'CO2 factors'!M$7*Q33</f><v>0</v></c><c r="R107" s="80"><f>'CO2 factors'!N$7*R33</f><v>0</v></c><c r="S107" s="80"><f>'CO2 factors'!O$7*S33</f><v>0</v></c><c r="T107" s="68"><f t="shared" si="34"/><v>0</v></c><c r="U107" s="68"><f t="shared" si="35"/><v>355.06374525299157</v></c></row><row r="108" spans="1:21" s="21" customFormat="1" ht="15.75"><c r="A108" s="22"/><c r="B108" s="65" t="str"><f>Translation!A76</f><v>TERTIARY SECTOR</v></c><c r="C108" s="68"><f>SUM(C109:C116)</f><v>19990.185530732826</v></c><c r="D108" s="68"><f>SUM(D109:D116)</f><v>0</v></c><c r="E108" s="68"><f>SUM(E109:E116)</f><v>0</v></c><c r="F108" s="68"><f t="shared" si="30"/><v>19990.185530732826</v></c><c r="G108" s="68"><f t="shared" ref="G108:L108" si="43">SUM(G109:G116)</f><v>1475.4027735796958</v></c><c r="H108" s="68"><f t="shared" si="43"/><v>0</v></c><c r="I108" s="68"><f t="shared" si="43"/><v>0</v></c><c r="J108" s="68"><f t="shared" si="43"/><v>994.71498875147563</v></c><c r="K108" s="68"><f t="shared" si="43"/><v>0</v></c><c r="L108" s="68"><f t="shared" si="43"/><v>0</v></c><c r="M108" s="68"><f t="shared" si="32"/><v>2470.1177623311714</v></c><c r="N108" s="68"><f t="shared" ref="N108:S108" si="44">SUM(N109:N116)</f><v>0</v></c><c r="O108" s="68"><f t="shared" si="44"/><v>0</v></c><c r="P108" s="68"><f t="shared" si="44"/><v>0</v></c><c r="Q108" s="68"><f t="shared" si="44"/><v>0</v></c><c r="R108" s="68"><f t="shared" si="44"/><v>0</v></c><c r="S108" s="68"><f t="shared" si="44"/><v>0</v></c><c r="T108" s="68"><f t="shared" si="34"/><v>0</v></c><c r="U108" s="68"><f t="shared" si="35"/><v>22460.303293063997</v></c></row><row r="109" spans="1:21" s="21" customFormat="1" ht="30"><c r="A109" s="22"/><c r="B109" s="198" t="str"><f>Translation!A77</f><v xml:space="preserve">Wholesale and retail trade; repair of motor vehicles and motorcycles </v></c><c r="C109" s="200"><f t="shared" ref="C109:C116" si="45">IF(C$48&gt;0, ($S$128+$V$137)/C$48,0)*C35</f><v>6520.9327669114036</v></c><c r="D109" s="200"><f t="shared" ref="D109:D116" si="46">IF(D$48&gt;0, ($S$129)/D$48,0)*D35</f><v>0</v></c><c r="E109" s="200"><f t="shared" ref="E109:E116" si="47">IF(E$48&gt;0, ($S$130)/E$48,0)*E35</f><v>0</v></c><c r="F109" s="68"><f t="shared" si="30"/><v>6520.9327669114036</v></c><c r="G109" s="200"><f>'CO2 factors'!C$7*G35</f><v>538.65629740057307</v></c><c r="H109" s="200"><f>'CO2 factors'!D$7*H35</f><v>0</v></c><c r="I109" s="200"><f>'CO2 factors'!E$7*I35</f><v>0</v></c><c r="J109" s="200"><f>'CO2 factors'!F$7*J35</f><v>363.16150572884908</v></c><c r="K109" s="200"><f>'CO2 factors'!G$7*K35</f><v>0</v></c><c r="L109" s="200"><f>'CO2 factors'!H$7*L35</f><v>0</v></c><c r="M109" s="68"><f t="shared" si="32"/><v>901.81780312942215</v></c><c r="N109" s="200"><f>'CO2 factors'!J$7*N35</f><v>0</v></c><c r="O109" s="200"><f>'CO2 factors'!K$7*O35</f><v>0</v></c><c r="P109" s="200"><f>'CO2 factors'!L$7*P35</f><v>0</v></c><c r="Q109" s="200"><f>'CO2 factors'!M$7*Q35</f><v>0</v></c><c r="R109" s="200"><f>'CO2 factors'!N$7*R35</f><v>0</v></c><c r="S109" s="200"><f>'CO2 factors'!O$7*S35</f><v>0</v></c><c r="T109" s="68"><f t="shared" si="34"/><v>0</v></c><c r="U109" s="68"><f t="shared" si="35"/><v>7422.7505700408256</v></c></row><row r="110" spans="1:21" s="21" customFormat="1" ht="15.75"><c r="A110" s="22"/><c r="B110" s="198" t="str"><f>Translation!A78</f><v>Accomodation and food service activities</v></c><c r="C110" s="200"><f t="shared" si="45"/><v>456.22931300465791</v></c><c r="D110" s="200"><f t="shared" si="46"/><v>0</v></c><c r="E110" s="200"><f t="shared" si="47"/><v>0</v></c><c r="F110" s="68"><f t="shared" si="30"/><v>456.22931300465791</v></c><c r="G110" s="200"><f>'CO2 factors'!C$7*G36</f><v>37.686447827784363</v></c><c r="H110" s="200"><f>'CO2 factors'!D$7*H36</f><v>0</v></c><c r="I110" s="200"><f>'CO2 factors'!E$7*I36</f><v>0</v></c><c r="J110" s="200"><f>'CO2 factors'!F$7*J36</f><v>25.408163247615498</v></c><c r="K110" s="200"><f>'CO2 factors'!G$7*K36</f><v>0</v></c><c r="L110" s="200"><f>'CO2 factors'!H$7*L36</f><v>0</v></c><c r="M110" s="68"><f t="shared" si="32"/><v>63.094611075399861</v></c><c r="N110" s="200"><f>'CO2 factors'!J$7*N36</f><v>0</v></c><c r="O110" s="200"><f>'CO2 factors'!K$7*O36</f><v>0</v></c><c r="P110" s="200"><f>'CO2 factors'!L$7*P36</f><v>0</v></c><c r="Q110" s="200"><f>'CO2 factors'!M$7*Q36</f><v>0</v></c><c r="R110" s="200"><f>'CO2 factors'!N$7*R36</f><v>0</v></c><c r="S110" s="200"><f>'CO2 factors'!O$7*S36</f><v>0</v></c><c r="T110" s="68"><f t="shared" si="34"/><v>0</v></c><c r="U110" s="68"><f t="shared" si="35"/><v>519.32392408005774</v></c></row><row r="111" spans="1:21" s="21" customFormat="1" ht="15.75"><c r="A111" s="22"/><c r="B111" s="198" t="str"><f>Translation!A79</f><v>General public administration and social security</v></c><c r="C111" s="200"><f t="shared" si="45"/><v>721.05207515103984</v></c><c r="D111" s="200"><f t="shared" si="46"/><v>0</v></c><c r="E111" s="200"><f t="shared" si="47"/><v>0</v></c><c r="F111" s="68"><f t="shared" si="30"/><v>721.05207515103984</v></c><c r="G111" s="200"><f>'CO2 factors'!C$7*G37</f><v>59.561914670348855</v></c><c r="H111" s="200"><f>'CO2 factors'!D$7*H37</f><v>0</v></c><c r="I111" s="200"><f>'CO2 factors'!E$7*I37</f><v>0</v></c><c r="J111" s="200"><f>'CO2 factors'!F$7*J37</f><v>40.156579845369315</v></c><c r="K111" s="200"><f>'CO2 factors'!G$7*K37</f><v>0</v></c><c r="L111" s="200"><f>'CO2 factors'!H$7*L37</f><v>0</v></c><c r="M111" s="68"><f t="shared" si="32"/><v>99.718494515718163</v></c><c r="N111" s="200"><f>'CO2 factors'!J$7*N37</f><v>0</v></c><c r="O111" s="200"><f>'CO2 factors'!K$7*O37</f><v>0</v></c><c r="P111" s="200"><f>'CO2 factors'!L$7*P37</f><v>0</v></c><c r="Q111" s="200"><f>'CO2 factors'!M$7*Q37</f><v>0</v></c><c r="R111" s="200"><f>'CO2 factors'!N$7*R37</f><v>0</v></c><c r="S111" s="200"><f>'CO2 factors'!O$7*S37</f><v>0</v></c><c r="T111" s="68"><f t="shared" si="34"/><v>0</v></c><c r="U111" s="68"><f t="shared" si="35"/><v>820.77056966675798</v></c></row><row r="112" spans="1:21" s="21" customFormat="1" ht="15.75"><c r="A112" s="22"/><c r="B112" s="198" t="str"><f>Translation!A80</f><v>Defense, justice, police and fire departments</v></c><c r="C112" s="200"><f t="shared" si="45"/><v>189.65854582760684</v></c><c r="D112" s="200"><f t="shared" si="46"/><v>0</v></c><c r="E112" s="200"><f t="shared" si="47"/><v>0</v></c><c r="F112" s="68"><f t="shared" si="30"/><v>189.65854582760684</v></c><c r="G112" s="200"><f>'CO2 factors'!C$7*G38</f><v>15.666588464806908</v></c><c r="H112" s="200"><f>'CO2 factors'!D$7*H38</f><v>0</v></c><c r="I112" s="200"><f>'CO2 factors'!E$7*I38</f><v>0</v></c><c r="J112" s="200"><f>'CO2 factors'!F$7*J38</f><v>10.562397365388053</v></c><c r="K112" s="200"><f>'CO2 factors'!G$7*K38</f><v>0</v></c><c r="L112" s="200"><f>'CO2 factors'!H$7*L38</f><v>0</v></c><c r="M112" s="68"><f t="shared" si="32"/><v>26.228985830194961</v></c><c r="N112" s="200"><f>'CO2 factors'!J$7*N38</f><v>0</v></c><c r="O112" s="200"><f>'CO2 factors'!K$7*O38</f><v>0</v></c><c r="P112" s="200"><f>'CO2 factors'!L$7*P38</f><v>0</v></c><c r="Q112" s="200"><f>'CO2 factors'!M$7*Q38</f><v>0</v></c><c r="R112" s="200"><f>'CO2 factors'!N$7*R38</f><v>0</v></c><c r="S112" s="200"><f>'CO2 factors'!O$7*S38</f><v>0</v></c><c r="T112" s="68"><f t="shared" si="34"/><v>0</v></c><c r="U112" s="68"><f t="shared" si="35"/><v>215.88753165780182</v></c></row><row r="113" spans="1:31" s="21" customFormat="1" ht="15.75"><c r="A113" s="22"/><c r="B113" s="198" t="str"><f>Translation!A81</f><v>Education</v></c><c r="C113" s="200"><f t="shared" si="45"/><v>561.10961484480913</v></c><c r="D113" s="200"><f t="shared" si="46"/><v>0</v></c><c r="E113" s="200"><f t="shared" si="47"/><v>0</v></c><c r="F113" s="68"><f t="shared" si="30"/><v>561.10961484480913</v></c><c r="G113" s="200"><f>'CO2 factors'!C$7*G39</f><v>46.349999052562382</v></c><c r="H113" s="200"><f>'CO2 factors'!D$7*H39</f><v>0</v></c><c r="I113" s="200"><f>'CO2 factors'!E$7*I39</f><v>0</v></c><c r="J113" s="200"><f>'CO2 factors'!F$7*J39</f><v>31.249120316032851</v></c><c r="K113" s="200"><f>'CO2 factors'!G$7*K39</f><v>0</v></c><c r="L113" s="200"><f>'CO2 factors'!H$7*L39</f><v>0</v></c><c r="M113" s="68"><f t="shared" si="32"/><v>77.59911936859524</v></c><c r="N113" s="200"><f>'CO2 factors'!J$7*N39</f><v>0</v></c><c r="O113" s="200"><f>'CO2 factors'!K$7*O39</f><v>0</v></c><c r="P113" s="200"><f>'CO2 factors'!L$7*P39</f><v>0</v></c><c r="Q113" s="200"><f>'CO2 factors'!M$7*Q39</f><v>0</v></c><c r="R113" s="200"><f>'CO2 factors'!N$7*R39</f><v>0</v></c><c r="S113" s="200"><f>'CO2 factors'!O$7*S39</f><v>0</v></c><c r="T113" s="68"><f t="shared" si="34"/><v>0</v></c><c r="U113" s="68"><f t="shared" si="35"/><v>638.70873421340434</v></c></row><row r="114" spans="1:31" s="21" customFormat="1" ht="15.75"><c r="A114" s="22"/><c r="B114" s="198" t="str"><f>Translation!A82</f><v>Human health and social work activities</v></c><c r="C114" s="200"><f t="shared" si="45"/><v>325.12893570446886</v></c><c r="D114" s="200"><f t="shared" si="46"/><v>0</v></c><c r="E114" s="200"><f t="shared" si="47"/><v>0</v></c><c r="F114" s="68"><f t="shared" si="30"/><v>325.12893570446886</v></c><c r="G114" s="200"><f>'CO2 factors'!C$7*G40</f><v>26.857008796811844</v></c><c r="H114" s="200"><f>'CO2 factors'!D$7*H40</f><v>0</v></c><c r="I114" s="200"><f>'CO2 factors'!E$7*I40</f><v>0</v></c><c r="J114" s="200"><f>'CO2 factors'!F$7*J40</f><v>18.106966912093799</v></c><c r="K114" s="200"><f>'CO2 factors'!G$7*K40</f><v>0</v></c><c r="L114" s="200"><f>'CO2 factors'!H$7*L40</f><v>0</v></c><c r="M114" s="68"><f t="shared" si="32"/><v>44.963975708905643</v></c><c r="N114" s="200"><f>'CO2 factors'!J$7*N40</f><v>0</v></c><c r="O114" s="200"><f>'CO2 factors'!K$7*O40</f><v>0</v></c><c r="P114" s="200"><f>'CO2 factors'!L$7*P40</f><v>0</v></c><c r="Q114" s="200"><f>'CO2 factors'!M$7*Q40</f><v>0</v></c><c r="R114" s="200"><f>'CO2 factors'!N$7*R40</f><v>0</v></c><c r="S114" s="200"><f>'CO2 factors'!O$7*S40</f><v>0</v></c><c r="T114" s="68"><f t="shared" si="34"/><v>0</v></c><c r="U114" s="68"><f t="shared" si="35"/><v>370.09291141337451</v></c></row><row r="115" spans="1:31" s="21" customFormat="1" ht="15.75"><c r="A115" s="22"/><c r="B115" s="198" t="str"><f>Translation!A83</f><v>Other services</v></c><c r="C115" s="200"><f t="shared" si="45"/><v>9087.0041519337701</v></c><c r="D115" s="200"><f t="shared" si="46"/><v>0</v></c><c r="E115" s="200"><f t="shared" si="47"/><v>0</v></c><c r="F115" s="68"><f t="shared" si="30"/><v>9087.0041519337701</v></c><c r="G115" s="200"><f>'CO2 factors'!C$7*G41</f><v>750.6245173668085</v></c><c r="H115" s="200"><f>'CO2 factors'!D$7*H41</f><v>0</v></c><c r="I115" s="200"><f>'CO2 factors'!E$7*I41</f><v>0</v></c><c r="J115" s="200"><f>'CO2 factors'!F$7*J41</f><v>506.07025533612705</v></c><c r="K115" s="200"><f>'CO2 factors'!G$7*K41</f><v>0</v></c><c r="L115" s="200"><f>'CO2 factors'!H$7*L41</f><v>0</v></c><c r="M115" s="68"><f t="shared" si="32"/><v>1256.6947727029356</v></c><c r="N115" s="200"><f>'CO2 factors'!J$7*N41</f><v>0</v></c><c r="O115" s="200"><f>'CO2 factors'!K$7*O41</f><v>0</v></c><c r="P115" s="200"><f>'CO2 factors'!L$7*P41</f><v>0</v></c><c r="Q115" s="200"><f>'CO2 factors'!M$7*Q41</f><v>0</v></c><c r="R115" s="200"><f>'CO2 factors'!N$7*R41</f><v>0</v></c><c r="S115" s="200"><f>'CO2 factors'!O$7*S41</f><v>0</v></c><c r="T115" s="68"><f t="shared" si="34"/><v>0</v></c><c r="U115" s="68"><f t="shared" si="35"/><v>10343.698924636705</v></c></row><row r="116" spans="1:31" s="21" customFormat="1" ht="15.75"><c r="A116" s="22"/><c r="B116" s="198" t="str"><f>Translation!A84</f><v>Public lighting</v></c><c r="C116" s="200"><f t="shared" si="45"/><v>2129.0701273550703</v></c><c r="D116" s="200"><f t="shared" si="46"/><v>0</v></c><c r="E116" s="200"><f t="shared" si="47"/><v>0</v></c><c r="F116" s="68"><f t="shared" si="30"/><v>2129.0701273550703</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2129.0701273550703</v></c></row><row r="117" spans="1:31" s="21" customFormat="1" ht="15.75"><c r="A117" s="22"/><c r="B117" s="65" t="str"><f>Translation!A85</f><v>TRANSPORTS</v></c><c r="C117" s="68"><f>SUM(C118:C121)</f><v>0</v></c><c r="D117" s="68"><f>SUM(D118:D121)</f><v>0</v></c><c r="E117" s="68"><f>SUM(E118:E121)</f><v>0</v></c><c r="F117" s="68"><f t="shared" si="30"/><v>0</v></c><c r="G117" s="68"><f t="shared" ref="G117:L117" si="48">SUM(G118:G121)</f><v>0</v></c><c r="H117" s="68"><f t="shared" si="48"/><v>24421.956000000006</v></c><c r="I117" s="68"><f t="shared" si="48"/><v>21117.939000000002</v></c><c r="J117" s="68"><f t="shared" si="48"/><v>0</v></c><c r="K117" s="68"><f t="shared" si="48"/><v>0</v></c><c r="L117" s="68"><f t="shared" si="48"/><v>0</v></c><c r="M117" s="68"><f t="shared" si="32"/><v>45539.895000000004</v></c><c r="N117" s="68"><f t="shared" ref="N117:S117" si="49">SUM(N118:N121)</f><v>0</v></c><c r="O117" s="68"><f t="shared" si="49"/><v>0</v></c><c r="P117" s="68"><f t="shared" si="49"/><v>0</v></c><c r="Q117" s="68"><f t="shared" si="49"/><v>0</v></c><c r="R117" s="68"><f t="shared" si="49"/><v>0</v></c><c r="S117" s="68"><f t="shared" si="49"/><v>0</v></c><c r="T117" s="68"><f t="shared" si="34"/><v>0</v></c><c r="U117" s="68"><f t="shared" si="35"/><v>45539.895000000004</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30"/><v>0</v></c><c r="G118" s="200"><f>'CO2 factors'!C$7*G44</f><v>0</v></c><c r="H118" s="200"><f>'CO2 factors'!D$7*H44</f><v>488.43912000000006</v></c><c r="I118" s="200"><f>'CO2 factors'!E$7*I44</f><v>422.35878000000002</v></c><c r="J118" s="200"><f>'CO2 factors'!F$7*J44</f><v>0</v></c><c r="K118" s="200"><f>'CO2 factors'!G$7*K44</f><v>0</v></c><c r="L118" s="200"><f>'CO2 factors'!H$7*L44</f><v>0</v></c><c r="M118" s="68"><f t="shared" si="32"/><v>910.79790000000003</v></c><c r="N118" s="200"><f>'CO2 factors'!J$7*N44</f><v>0</v></c><c r="O118" s="200"><f>'CO2 factors'!K$7*O44</f><v>0</v></c><c r="P118" s="200"><f>'CO2 factors'!L$7*P44</f><v>0</v></c><c r="Q118" s="200"><f>'CO2 factors'!M$7*Q44</f><v>0</v></c><c r="R118" s="200"><f>'CO2 factors'!N$7*R44</f><v>0</v></c><c r="S118" s="200"><f>'CO2 factors'!O$7*S44</f><v>0</v></c><c r="T118" s="68"><f t="shared" si="34"/><v>0</v></c><c r="U118" s="68"><f t="shared" si="35"/><v>910.79790000000003</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7815.025920000001</v></c><c r="I119" s="200"><f>'CO2 factors'!E$7*I45</f><v>6757.7404800000004</v></c><c r="J119" s="200"><f>'CO2 factors'!F$7*J45</f><v>0</v></c><c r="K119" s="200"><f>'CO2 factors'!G$7*K45</f><v>0</v></c><c r="L119" s="200"><f>'CO2 factors'!H$7*L45</f><v>0</v></c><c r="M119" s="68"><f t="shared" si="32"/><v>14572.7664</v></c><c r="N119" s="200"><f>'CO2 factors'!J$7*N45</f><v>0</v></c><c r="O119" s="200"><f>'CO2 factors'!K$7*O45</f><v>0</v></c><c r="P119" s="200"><f>'CO2 factors'!L$7*P45</f><v>0</v></c><c r="Q119" s="200"><f>'CO2 factors'!M$7*Q45</f><v>0</v></c><c r="R119" s="200"><f>'CO2 factors'!N$7*R45</f><v>0</v></c><c r="S119" s="200"><f>'CO2 factors'!O$7*S45</f><v>0</v></c><c r="T119" s="68"><f t="shared" si="34"/><v>0</v></c><c r="U119" s="68"><f t="shared" si="35"/><v>14572.7664</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16118.490960000003</v></c><c r="I121" s="200"><f>'CO2 factors'!E$7*I47</f><v>13937.839740000001</v></c><c r="J121" s="200"><f>'CO2 factors'!F$7*J47</f><v>0</v></c><c r="K121" s="200"><f>'CO2 factors'!G$7*K47</f><v>0</v></c><c r="L121" s="200"><f>'CO2 factors'!H$7*L47</f><v>0</v></c><c r="M121" s="68"><f t="shared" si="32"/><v>30056.330700000006</v></c><c r="N121" s="200"><f>'CO2 factors'!J$7*N47</f><v>0</v></c><c r="O121" s="200"><f>'CO2 factors'!K$7*O47</f><v>0</v></c><c r="P121" s="200"><f>'CO2 factors'!L$7*P47</f><v>0</v></c><c r="Q121" s="200"><f>'CO2 factors'!M$7*Q47</f><v>0</v></c><c r="R121" s="200"><f>'CO2 factors'!N$7*R47</f><v>0</v></c><c r="S121" s="200"><f>'CO2 factors'!O$7*S47</f><v>0</v></c><c r="T121" s="68"><f t="shared" si="34"/><v>0</v></c><c r="U121" s="68"><f t="shared" si="35"/><v>30056.330700000006</v></c></row><row r="122" spans="1:31" s="21" customFormat="1" ht="15.75"><c r="A122" s="22"/><c r="B122" s="77" t="str"><f>Translation!A117</f><v>TOTAL FOR INTERNAL MARKET</v></c><c r="C122" s="69"><f>C91+C101+C104+C108+C117</f><v>87886.86117389705</v></c><c r="D122" s="69"><f>D91+D101+D104+D108+D117</f><v>0</v></c><c r="E122" s="69"><f>E91+E101+E104+E108+E117</f><v>0</v></c><c r="F122" s="68"><f t="shared" si="30"/><v>87886.86117389705</v></c><c r="G122" s="69"><f t="shared" ref="G122:L122" si="50">G91+G101+G104+G108+G117</f><v>9090.4615560796956</v></c><c r="H122" s="69"><f t="shared" si="50"/><v>24427.296000000006</v></c><c r="I122" s="69"><f t="shared" si="50"/><v>21117.939000000002</v></c><c r="J122" s="69"><f t="shared" si="50"/><v>3570.4500000000003</v></c><c r="K122" s="69"><f t="shared" si="50"/><v>0</v></c><c r="L122" s="69"><f t="shared" si="50"/><v>0</v></c><c r="M122" s="68"><f t="shared" si="32"/><v>58206.146556079693</v></c><c r="N122" s="69"><f t="shared" ref="N122:S122" si="51">N91+N101+N104+N108+N117</f><v>0</v></c><c r="O122" s="69"><f t="shared" si="51"/><v>0</v></c><c r="P122" s="69"><f t="shared" si="51"/><v>0</v></c><c r="Q122" s="69"><f t="shared" si="51"/><v>0</v></c><c r="R122" s="69"><f t="shared" si="51"/><v>0</v></c><c r="S122" s="69"><f t="shared" si="51"/><v>0</v></c><c r="T122" s="68"><f t="shared" si="34"/><v>0</v></c><c r="U122" s="68"><f t="shared" si="35"/><v>146093.00772997673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5" t="str"><f>Translation!A120</f><v>PRODUCTION SECTOR</v></c><c r="C125" s="279" t="str"><f>Translation!A142</f><v>PRIMARY ENERGY SOURCE</v></c><c r="D125" s="280"/><c r="E125" s="280"/><c r="F125" s="280"/><c r="G125" s="280"/><c r="H125" s="280"/><c r="I125" s="280"/><c r="J125" s="280"/><c r="K125" s="280"/><c r="L125" s="280"/><c r="M125" s="280"/><c r="N125" s="280"/><c r="O125" s="280"/><c r="P125" s="280"/><c r="Q125" s="280"/><c r="R125" s="280"/><c r="S125" s="281"/><c r="T125" s="64"/><c r="U125" s="282" t="str"><f>Translation!A122</f><v>Energy product</v></c><c r="V125" s="283"/><c r="W125" s="288" t="str"><f>Translation!A149</f><v>CO2 EMISSION FACTORS</v></c><c r="X125" s="61"/><c r="Y125" s="61"/><c r="Z125" s="61"/><c r="AA125" s="61"/><c r="AB125" s="61"/><c r="AC125" s="61"/><c r="AD125" s="61"/><c r="AE125" s="61"/></row><row r="126" spans="1:31" s="55" customFormat="1" ht="15" customHeight="1"><c r="B126" s="306"/><c r="C126" s="279" t="str"><f>Translation!A98</f><v>Fossil fuels</v></c><c r="D126" s="280"/><c r="E126" s="280"/><c r="F126" s="280"/><c r="G126" s="280"/><c r="H126" s="280"/><c r="I126" s="281"/><c r="J126" s="279" t="str"><f>Translation!A107</f><v>Renewable energy sources</v></c><c r="K126" s="280"/><c r="L126" s="280"/><c r="M126" s="280"/><c r="N126" s="280"/><c r="O126" s="280"/><c r="P126" s="280"/><c r="Q126" s="280"/><c r="R126" s="281"/><c r="S126" s="291" t="str"><f>Translation!A118</f><v>TOTAL</v></c><c r="T126" s="64"/><c r="U126" s="284"/><c r="V126" s="285"/><c r="W126" s="28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1"/><c r="T127" s="64"/><c r="U127" s="286"/><c r="V127" s="287"/><c r="W127" s="290"/><c r="X127" s="61"/><c r="Y127" s="61"/><c r="Z127" s="61"/><c r="AA127" s="61"/><c r="AB127" s="61"/><c r="AC127" s="61"/><c r="AD127" s="61"/><c r="AE127" s="61"/></row><row r="128" spans="1:31" s="55" customFormat="1" ht="15.75"><c r="B128" s="199" t="str"><f>Translation!A123</f><v>Electricity</v></c><c r="C128" s="204"><f>'CO2 factors'!C$7*C67</f><v>86383.117173897059</v></c><c r="D128" s="204"><f>'CO2 factors'!D$7*D67</f><v>1503.7440000000001</v></c><c r="E128" s="204"><f>'CO2 factors'!E$7*E67</f><v>0</v></c><c r="F128" s="204"><f>'CO2 factors'!F$7*F67</f><v>0</v></c><c r="G128" s="204"><f>'CO2 factors'!G$7*G67</f><v>0</v></c><c r="H128" s="204"><f>'CO2 factors'!H$7*H67</f><v>0</v></c><c r="I128" s="63"><f>SUM(C128:H128)</f><v>87886.861173897065</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87886.861173897065</v></c><c r="T128" s="62"/><c r="U128" s="293" t="str"><f>Translation!A123</f><v>Electricity</v></c><c r="V128" s="294"/><c r="W128" s="205"><f>IF(S58&gt;0,S128/S58,0)</f><v>0.87400042934750499</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2" t="str"><f>Translation!A124</f><v>Heat</v></c><c r="V129" s="29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2" t="str"><f>Translation!A125</f><v>Cold</v></c><c r="V130" s="292"/><c r="W130" s="205"><f>IF(S60&gt;0,S130/S60,0)</f><v>0</v></c><c r="X130" s="61"/><c r="Y130" s="61"/><c r="Z130" s="61"/><c r="AA130" s="61"/><c r="AB130" s="61"/><c r="AC130" s="61"/><c r="AD130" s="61"/><c r="AE130" s="61"/></row><row r="131" spans="1:31" s="55" customFormat="1" ht="15.75"><c r="B131" s="74" t="str"><f>Translation!A118</f><v>TOTAL</v></c><c r="C131" s="57"><f t="shared" ref="C131:S131" si="52">SUM(C128:C130)</f><v>86383.117173897059</v></c><c r="D131" s="57"><f t="shared" si="52"/><v>1503.7440000000001</v></c><c r="E131" s="57"><f t="shared" si="52"/><v>0</v></c><c r="F131" s="57"><f t="shared" si="52"/><v>0</v></c><c r="G131" s="57"><f t="shared" si="52"/><v>0</v></c><c r="H131" s="57"><f t="shared" si="52"/><v>0</v></c><c r="I131" s="57"><f t="shared" si="52"/><v>87886.861173897065</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87886.861173897065</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7" t="str"><f>Translation!A122</f><v>Energy product</v></c><c r="C134" s="276" t="str"><f>Translation!A142</f><v>PRIMARY ENERGY SOURCE</v></c><c r="D134" s="277"/><c r="E134" s="277"/><c r="F134" s="277"/><c r="G134" s="277"/><c r="H134" s="277"/><c r="I134" s="277"/><c r="J134" s="277"/><c r="K134" s="277"/><c r="L134" s="277"/><c r="M134" s="277"/><c r="N134" s="277"/><c r="O134" s="277"/><c r="P134" s="277"/><c r="Q134" s="277"/><c r="R134" s="277"/><c r="S134" s="277"/><c r="T134" s="277"/><c r="U134" s="277"/><c r="V134" s="277"/><c r="W134" s="277"/><c r="X134" s="277"/><c r="Y134" s="278"/><c r="AA134" s="288" t="str"><f>Translation!A150</f><v>CO2 emissions from ETS installations included in the calculations for final use of energy</v></c><c r="AB134" s="288" t="str"><f>Translation!A151</f><v>CO2 emissions from ETS installations included in the calculations for secondary energy production</v></c></row><row r="135" spans="1:31" s="55" customFormat="1" ht="15" customHeight="1"><c r="B135" s="318"/><c r="C135" s="276" t="str"><f>Translation!A98</f><v>Fossil fuels</v></c><c r="D135" s="277"/><c r="E135" s="277"/><c r="F135" s="277"/><c r="G135" s="277"/><c r="H135" s="277"/><c r="I135" s="278"/><c r="J135" s="276" t="str"><f>Translation!A107</f><v>Renewable energy sources</v></c><c r="K135" s="277"/><c r="L135" s="277"/><c r="M135" s="277"/><c r="N135" s="277"/><c r="O135" s="277"/><c r="P135" s="277"/><c r="Q135" s="277"/><c r="R135" s="278"/><c r="S135" s="295" t="str"><f>Translation!A123</f><v>Electricity</v></c><c r="T135" s="296"/><c r="U135" s="296"/><c r="V135" s="297"/><c r="W135" s="115" t="str"><f>Translation!A124</f><v>Heat</v></c><c r="X135" s="115" t="str"><f>Translation!A125</f><v>Cold</v></c><c r="Y135" s="249" t="str"><f>Translation!A118</f><v>TOTAL</v></c><c r="AA135" s="289"/><c r="AB135" s="289"/></row><row r="136" spans="1:31" s="55" customFormat="1" ht="90.75" customHeight="1"><c r="B136" s="319"/><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90"/><c r="AB136" s="290"/></row><row r="137" spans="1:31" s="55" customFormat="1" ht="15.75"><c r="B137" s="114" t="str"><f>Translation!A118</f><v>TOTAL</v></c><c r="C137" s="201"><f>'CO2 factors'!C$7*C76</f><v>95473.57872997674</v></c><c r="D137" s="201"><f>'CO2 factors'!D$7*D76</f><v>25931.040000000001</v></c><c r="E137" s="201"><f>'CO2 factors'!E$7*E76</f><v>21117.938999999998</v></c><c r="F137" s="201"><f>'CO2 factors'!F$7*F76</f><v>3570.4500000000003</v></c><c r="G137" s="201"><f>'CO2 factors'!G$7*G76</f><v>0</v></c><c r="H137" s="201"><f>'CO2 factors'!H$7*H76</f><v>0</v></c><c r="I137" s="57"><f>SUM(C137:H137)</f><v>146093.00772997673</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146093.00772997673</v></c><c r="AA137" s="164"/><c r="AB137" s="164"/></row><row r="138" spans="1:31" s="55" customFormat="1" ht="15"><c r="B138" s="56"/></row><row r="139" spans="1:31" ht="15.75" customHeight="1"><c r="A139" s="154"/><c r="B139" s="155"/></row><row r="140" spans="1:31" ht="18.75" customHeight="1"><c r="A140" s="153"/><c r="B140" s="265" t="str"><f>Translation!A153</f><v xml:space="preserve">Go to the next sheet dedicated to your Emission Inventory in 2020 </v></c><c r="C140" s="266"/><c r="D140" s="266"/><c r="E140" s="266"/><c r="F140" s="266"/><c r="G140" s="266"/><c r="H140" s="266"/><c r="I140" s="266"/><c r="J140" s="266"/><c r="K140" s="266"/><c r="L140" s="266"/><c r="M140" s="266"/><c r="N140" s="266"/><c r="O140" s="266"/><c r="P140" s="266"/><c r="Q140" s="266"/><c r="R140" s="26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7"/><c r="D142" s="267"/><c r="E142" s="267"/><c r="F142" s="267"/><c r="G142" s="267"/><c r="H142" s="267"/><c r="I142" s="267"/><c r="J142" s="267"/><c r="K142" s="267"/><c r="L142" s="267"/><c r="M142" s="267"/><c r="N142" s="267"/><c r="O142" s="267"/><c r="P142" s="267"/><c r="Q142" s="267"/><c r="R142" s="267"/><c r="S142" s="267"/><c r="T142" s="267"/><c r="U142" s="267"/></row><row r="143" spans="1:31" ht="12.75" customHeight="1"><c r="B143" s="267"/><c r="C143" s="267"/><c r="D143" s="267"/><c r="E143" s="267"/><c r="F143" s="267"/><c r="G143" s="267"/><c r="H143" s="267"/><c r="I143" s="267"/><c r="J143" s="267"/><c r="K143" s="267"/><c r="L143" s="267"/><c r="M143" s="267"/><c r="N143" s="267"/><c r="O143" s="267"/><c r="P143" s="267"/><c r="Q143" s="267"/><c r="R143" s="267"/><c r="S143" s="267"/><c r="T143" s="267"/><c r="U143" s="267"/></row><row r="144" spans="1:31" ht="12.75" customHeight="1"><c r="B144" s="267"/><c r="C144" s="267"/><c r="D144" s="267"/><c r="E144" s="267"/><c r="F144" s="267"/><c r="G144" s="267"/><c r="H144" s="267"/><c r="I144" s="267"/><c r="J144" s="267"/><c r="K144" s="267"/><c r="L144" s="267"/><c r="M144" s="267"/><c r="N144" s="267"/><c r="O144" s="267"/><c r="P144" s="267"/><c r="Q144" s="267"/><c r="R144" s="267"/><c r="S144" s="267"/><c r="T144" s="267"/><c r="U144" s="267"/></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H66" sqref="H66"/></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225" t="s"><v>450</v></c><c r="C2" s="82"/><c r="D2" s="82"/><c r="E2" s="82"/><c r="F2" s="86"/><c r="G2" s="86"/><c r="H2" s="87"/><c r="I2" s="84" t="str"><f>Translation!$A$10</f><v>Island</v></c><c r="J2" s="85" t="str"><f>'Start here'!$B$5</f><v>Cyprus - Aradippou</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60" t="str"><f>Translation!A154</f><v>PLAN EMISSION INVENTORY IN 2020 (implementing sustainable energy actions)</v></c><c r="B4" s="260"/><c r="C4" s="260"/><c r="D4" s="260"/><c r="E4" s="260"/><c r="F4" s="260"/><c r="G4" s="260"/><c r="H4" s="260"/><c r="I4" s="260"/><c r="J4" s="260"/><c r="K4" s="260"/><c r="L4" s="260"/><c r="M4" s="260"/><c r="N4" s="260"/><c r="O4" s="260"/><c r="P4" s="260"/><c r="Q4" s="260"/><c r="R4" s="260"/><c r="S4" s="260"/><c r="T4" s="260"/><c r="U4" s="26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4" t="str"><f>Translation!$A$53</f><v>Mandatory fields</v></c><c r="T6" s="264"/><c r="U6" s="264"/></row><row r="7" spans="1:30" s="135" customFormat="1" ht="36"><c r="A7" s="133" t="s"><v>0</v></c><c r="B7" s="134" t="str"><f>Translation!A50</f><v>GENERAL DATA</v></c><c r="L7" s="136"/></row><row r="8" spans="1:30" ht="21"><c r="A8" s="137"/><c r="B8" s="139" t="str"><f>Translation!A52</f><v>Number of inhabitants</v></c><c r="C8" s="314"><v>34758</v></c><c r="D8" s="315"/><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6" t="str"><f>'Start here'!F7</f><v>IPCC emission factors</v></c><c r="D10" s="316"/><c r="E10" s="316"/><c r="F10" s="316"/><c r="G10" s="316"/><c r="H10" s="316"/><c r="I10" s="316"/><c r="J10" s="31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4" t="str"><f>Translation!A56</f><v>DEMAND SECTOR</v></c><c r="C14" s="276" t="str"><f>Translation!A93</f><v>ENERGY FOR FINAL USE</v></c><c r="D14" s="277"/><c r="E14" s="277"/><c r="F14" s="277"/><c r="G14" s="277"/><c r="H14" s="277"/><c r="I14" s="277"/><c r="J14" s="277"/><c r="K14" s="277"/><c r="L14" s="277"/><c r="M14" s="277"/><c r="N14" s="277"/><c r="O14" s="277"/><c r="P14" s="277"/><c r="Q14" s="277"/><c r="R14" s="277"/><c r="S14" s="277"/><c r="T14" s="277"/><c r="U14" s="278"/></row><row r="15" spans="1:30" s="55" customFormat="1" ht="18" customHeight="1"><c r="B15" s="275"/><c r="C15" s="276" t="str"><f>Translation!A94</f><v>Centralized energy services</v></c><c r="D15" s="277"/><c r="E15" s="277"/><c r="F15" s="278"/><c r="G15" s="276" t="str"><f>Translation!A98</f><v>Fossil fuels</v></c><c r="H15" s="277"/><c r="I15" s="277"/><c r="J15" s="277"/><c r="K15" s="277"/><c r="L15" s="277"/><c r="M15" s="278"/><c r="N15" s="276" t="str"><f>Translation!A105</f><v>Renewable energy sources (excluding electricity and heat sold to public networks)</v></c><c r="O15" s="277"/><c r="P15" s="277"/><c r="Q15" s="277"/><c r="R15" s="277"/><c r="S15" s="277"/><c r="T15" s="278"/><c r="U15" s="274" t="str"><f>Translation!A118</f><v>TOTAL</v></c></row><row r="16" spans="1:30" s="66" customFormat="1" ht="67.5" customHeight="1"><c r="B16" s="65" t="str"><f>Translation!A58</f><v>Sector description</v></c><c r="C16" s="232" t="str"><f>Translation!A95</f><v>Electricity from public grid</v></c><c r="D16" s="232" t="str"><f>Translation!A96</f><v>Heat from district heating</v></c><c r="E16" s="232" t="str"><f>Translation!A97</f><v>Cold from district cooling</v></c><c r="F16" s="232" t="str"><f>Translation!A116</f><v>Subtotal</v></c><c r="G16" s="232" t="str"><f>Translation!A99</f><v>Fueloil</v></c><c r="H16" s="232" t="str"><f>Translation!A100</f><v>Diesel</v></c><c r="I16" s="232" t="str"><f>Translation!A101</f><v>Gasoline</v></c><c r="J16" s="232" t="str"><f>Translation!A102</f><v>LPG</v></c><c r="K16" s="232" t="str"><f>Translation!A103</f><v>Natural gas</v></c><c r="L16" s="232" t="str"><f>Translation!A104</f><v>Coal</v></c><c r="M16" s="232" t="str"><f>Translation!A116</f><v>Subtotal</v></c><c r="N16" s="232" t="str"><f>Translation!A108</f><v>Hydro</v></c><c r="O16" s="232" t="str"><f>Translation!A109</f><v>Wind</v></c><c r="P16" s="232" t="str"><f>Translation!A110</f><v>Solar</v></c><c r="Q16" s="232" t="str"><f>Translation!A111</f><v>Geothermal</v></c><c r="R16" s="232" t="str"><f>Translation!A112</f><v>Ocean</v></c><c r="S16" s="232" t="str"><f>Translation!A113</f><v>Biomass</v></c><c r="T16" s="232" t="str"><f>Translation!A116</f><v>Subtotal</v></c><c r="U16" s="275"/></row><row r="17" spans="1:21" s="21" customFormat="1" ht="15.75"><c r="A17" s="22"/><c r="B17" s="70" t="str"><f>Translation!A59</f><v>RESIDENTIAL</v></c><c r="C17" s="124"><f>SUM(C18:C26)</f><v>47837.705872029059</v></c><c r="D17" s="124"><f>SUM(D18:D26)</f><v>0</v></c><c r="E17" s="124"><f>SUM(E18:E26)</f><v>0</v></c><c r="F17" s="68"><f t="shared" ref="F17:F52" si="0">SUM(C17:E17)</f><v>47837.705872029059</v></c><c r="G17" s="124"><f t="shared" ref="G17:L17" si="1">SUM(G18:G26)</f><v>21800.7755641806</v></c><c r="H17" s="124"><f t="shared" si="1"/><v>0</v></c><c r="I17" s="124"><f t="shared" si="1"/><v>0</v></c><c r="J17" s="124"><f t="shared" si="1"/><v>3121.8149503988125</v></c><c r="K17" s="124"><f t="shared" si="1"/><v>0</v></c><c r="L17" s="124"><f t="shared" si="1"/><v>0</v></c><c r="M17" s="68"><f t="shared" ref="M17:M52" si="2">SUM(G17:L17)</f><v>24922.590514579413</v></c><c r="N17" s="124"><f t="shared" ref="N17:S17" si="3">SUM(N18:N26)</f><v>0</v></c><c r="O17" s="124"><f t="shared" si="3"/><v>0</v></c><c r="P17" s="124"><f t="shared" si="3"/><v>6011.5001306685926</v></c><c r="Q17" s="124"><f t="shared" si="3"/><v>165.70100093173215</v></c><c r="R17" s="124"><f t="shared" si="3"/><v>0</v></c><c r="S17" s="124"><f t="shared" si="3"/><v>3335.2637367028137</v></c><c r="T17" s="68"><f t="shared" ref="T17:T52" si="4">SUM(N17:S17)</f><v>9512.4648683031373</v></c><c r="U17" s="68"><f t="shared" ref="U17:U52" si="5">F17+M17+T17</f><v>82272.761254911617</v></c></row><row r="18" spans="1:21" s="21" customFormat="1" ht="15.75"><c r="A18" s="22"/><c r="B18" s="197" t="str"><f>Translation!A60</f><v>Hot water</v></c><c r="C18" s="158"><v>1435.1311761608708</v></c><c r="D18" s="158"/><c r="E18" s="158"/><c r="F18" s="68"><f t="shared" si="0"/><v>1435.1311761608708</v></c><c r="G18" s="158"><v>1255.7397791407625</v></c><c r="H18" s="158"><v>0</v></c><c r="I18" s="158"><v>0</v></c><c r="J18" s="158"><v>89.695698510054427</v></c><c r="K18" s="158"><v>0</v></c><c r="L18" s="158"><v>0</v></c><c r="M18" s="68"><f t="shared" si="2"/><v>1345.4354776508169</v></c><c r="N18" s="158"><v>0</v></c><c r="O18" s="158"><v>0</v></c><c r="P18" s="158"><v>5830.2204031535357</v></c><c r="Q18" s="158"><v>44.847849255027214</v></c><c r="R18" s="158"><v>0</v></c><c r="S18" s="158"><v>313.93494478519062</v></c><c r="T18" s="68"><f t="shared" si="4"/><v>6189.0031971937542</v></c><c r="U18" s="68"><f t="shared" si="5"/><v>8969.5698510054426</v></c></row><row r="19" spans="1:21" s="21" customFormat="1" ht="15.75"><c r="A19" s="22"/><c r="B19" s="197" t="str"><f>Translation!A61</f><v>Heating and cooling</v></c><c r="C19" s="158"><v>34443.148227860918</v></c><c r="D19" s="158"/><c r="E19" s="158"/><c r="F19" s="68"><f t="shared" si="0"/><v>34443.148227860918</v></c><c r="G19" s="158"><v>20545.035785039836</v></c><c r="H19" s="158"><v>0</v></c><c r="I19" s="158"><v>0</v></c><c r="J19" s="158"><v>2417.0630335340984</v></c><c r="K19" s="158"><v>0</v></c><c r="L19" s="158"><v>0</v></c><c r="M19" s="68"><f t="shared" si="2"/><v>22962.098818573933</v></c><c r="N19" s="158"><v>0</v></c><c r="O19" s="158"><v>0</v></c><c r="P19" s="158"><v>181.27972751505737</v></c><c r="Q19" s="158"><v>120.85315167670494</v></c><c r="R19" s="158"><v>0</v></c><c r="S19" s="158"><v>3021.3287919176232</v></c><c r="T19" s="68"><f t="shared" si="4"/><v>3323.4616711093854</v></c><c r="U19" s="68"><f t="shared" si="5"/><v>60728.708717544236</v></c></row><row r="20" spans="1:21" s="21" customFormat="1" ht="15.75"><c r="A20" s="22"/><c r="B20" s="197" t="str"><f>Translation!A62</f><v>Lighting</v></c><c r="C20" s="158"><v>1913.5082348811607</v></c><c r="D20" s="158"/><c r="E20" s="158"/><c r="F20" s="68"><f t="shared" si="0"/><v>1913.5082348811607</v></c><c r="G20" s="158"><v>0</v></c><c r="H20" s="158"><v>0</v></c><c r="I20" s="158"><v>0</v></c><c r="J20" s="158"><v>0</v></c><c r="K20" s="158"><v>0</v></c><c r="L20" s="158"><v>0</v></c><c r="M20" s="68"><f t="shared" si="2"/><v>0</v></c><c r="N20" s="158"><v>0</v></c><c r="O20" s="158"><v>0</v></c><c r="P20" s="158"><v>0</v></c><c r="Q20" s="158"><v>0</v></c><c r="R20" s="158"><v>0</v></c><c r="S20" s="158"><v>0</v></c><c r="T20" s="68"><f t="shared" si="4"/><v>0</v></c><c r="U20" s="68"><f t="shared" si="5"/><v>1913.5082348811607</v></c></row><row r="21" spans="1:21" s="21" customFormat="1" ht="15.75"><c r="A21" s="22"/><c r="B21" s="197" t="str"><f>Translation!A63</f><v>Cooking</v></c><c r="C21" s="158"><v>1435.1311761608708</v></c><c r="D21" s="158"/><c r="E21" s="158"/><c r="F21" s="68"><f t="shared" si="0"/><v>1435.1311761608708</v></c><c r="G21" s="158"><v>0</v></c><c r="H21" s="158"><v>0</v></c><c r="I21" s="158"><v>0</v></c><c r="J21" s="158"><v>615.05621835465922</v></c><c r="K21" s="158"><v>0</v></c><c r="L21" s="158"><v>0</v></c><c r="M21" s="68"><f t="shared" si="2"/><v>615.05621835465922</v></c><c r="N21" s="158"><v>0</v></c><c r="O21" s="158"><v>0</v></c><c r="P21" s="158"><v>0</v></c><c r="Q21" s="158"><v>0</v></c><c r="R21" s="158"><v>0</v></c><c r="S21" s="158"><v>0</v></c><c r="T21" s="68"><f t="shared" si="4"/><v>0</v></c><c r="U21" s="68"><f t="shared" si="5"/><v>2050.1873945155303</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8610.7870569652296</v></c><c r="D26" s="158"/><c r="E26" s="158"/><c r="F26" s="68"><f t="shared" si="0"/><v>8610.7870569652296</v></c><c r="G26" s="158"><v>0</v></c><c r="H26" s="158"><v>0</v></c><c r="I26" s="158"><v>0</v></c><c r="J26" s="158"><v>0</v></c><c r="K26" s="158"><v>0</v></c><c r="L26" s="158"><v>0</v></c><c r="M26" s="68"><f t="shared" si="2"/><v>0</v></c><c r="N26" s="158"><v>0</v></c><c r="O26" s="158"><v>0</v></c><c r="P26" s="158"><v>0</v></c><c r="Q26" s="158"><v>0</v></c><c r="R26" s="158"><v>0</v></c><c r="S26" s="158"><v>0</v></c><c r="T26" s="68"><f t="shared" si="4"/><v>0</v></c><c r="U26" s="68"><f t="shared" si="5"/><v>8610.7870569652296</v></c></row><row r="27" spans="1:21" s="21" customFormat="1" ht="15.75"><c r="A27" s="22"/><c r="B27" s="70" t="str"><f>Translation!A69</f><v>PRIMARY SECTOR</v></c><c r="C27" s="124"><f>SUM(C28:C29)</f><v>4713.2151999300413</v></c><c r="D27" s="124"><f>SUM(D28:D29)</f><v>0</v></c><c r="E27" s="124"><f>SUM(E28:E29)</f><v>0</v></c><c r="F27" s="68"><f t="shared" si="0"/><v>4713.2151999300413</v></c><c r="G27" s="124"><f t="shared" ref="G27:L27" si="6">SUM(G28:G29)</f><v>1219.6290716247388</v></c><c r="H27" s="124"><f t="shared" si="6"/><v>22</v></c><c r="I27" s="124"><f t="shared" si="6"/><v>0</v></c><c r="J27" s="124"><f t="shared" si="6"/><v>955.89193184039891</v></c><c r="K27" s="124"><f t="shared" si="6"/><v>0</v></c><c r="L27" s="124"><f t="shared" si="6"/><v>0</v></c><c r="M27" s="68"><f t="shared" si="2"/><v>2197.5210034651377</v></c><c r="N27" s="124"><f t="shared" ref="N27:S27" si="7">SUM(N28:N29)</f><v>0</v></c><c r="O27" s="124"><f t="shared" si="7"/><v>298</v></c><c r="P27" s="124"><f t="shared" si="7"/><v>0</v></c><c r="Q27" s="124"><f t="shared" si="7"/><v>0</v></c><c r="R27" s="124"><f t="shared" si="7"/><v>0</v></c><c r="S27" s="124"><f t="shared" si="7"/><v>1879</v></c><c r="T27" s="68"><f t="shared" si="4"/><v>2177</v></c><c r="U27" s="68"><f t="shared" si="5"/><v>9087.7362033951795</v></c></row><row r="28" spans="1:21" s="21" customFormat="1" ht="15.75"><c r="A28" s="22"/><c r="B28" s="198" t="str"><f>Translation!A70</f><v>Agriculture, forestry and fishing</v></c><c r="C28" s="158"><v>4698.711511423392</v></c><c r="D28" s="158"/><c r="E28" s="158"/><c r="F28" s="68"><f t="shared" si="0"/><v>4698.711511423392</v></c><c r="G28" s="158"><v>1215.8759817703308</v></c><c r="H28" s="158"><v>0</v></c><c r="I28" s="158"><v>0</v></c><c r="J28" s="158"><v>952.95042413550186</v></c><c r="K28" s="158"><v>0</v></c><c r="L28" s="158"><v>0</v></c><c r="M28" s="68"><f t="shared" si="2"/><v>2168.8264059058329</v></c><c r="N28" s="158"><v>0</v></c><c r="O28" s="158"><v>298</v></c><c r="P28" s="158"><v>0</v></c><c r="Q28" s="158"><v>0</v></c><c r="R28" s="158"><v>0</v></c><c r="S28" s="158"><v>1879</v></c><c r="T28" s="68"><f t="shared" si="4"/><v>2177</v></c><c r="U28" s="68"><f t="shared" si="5"/><v>9044.537917329224</v></c></row><row r="29" spans="1:21" s="21" customFormat="1" ht="15.75"><c r="A29" s="22"/><c r="B29" s="198" t="str"><f>Translation!A71</f><v>Mining and quarrying</v></c><c r="C29" s="158"><v>14.503688506649118</v></c><c r="D29" s="158"/><c r="E29" s="158"/><c r="F29" s="68"><f t="shared" si="0"/><v>14.503688506649118</v></c><c r="G29" s="158"><v>3.7530898544079685</v></c><c r="H29" s="158"><v>22</v></c><c r="I29" s="158"><v>0</v></c><c r="J29" s="158"><v>2.9415077048970732</v></c><c r="K29" s="158"><v>0</v></c><c r="L29" s="158"><v>0</v></c><c r="M29" s="68"><f t="shared" si="2"/><v>28.694597559305041</v></c><c r="N29" s="158"><v>0</v></c><c r="O29" s="158"><v>0</v></c><c r="P29" s="158"><v>0</v></c><c r="Q29" s="158"><v>0</v></c><c r="R29" s="158"><v>0</v></c><c r="S29" s="158"><v>0</v></c><c r="T29" s="68"><f t="shared" si="4"/><v>0</v></c><c r="U29" s="68"><f t="shared" si="5"/><v>43.198286065954157</v></c></row><row r="30" spans="1:21" s="21" customFormat="1" ht="15.75"><c r="A30" s="22"/><c r="B30" s="65" t="str"><f>Translation!A72</f><v>SECONDARY SECTOR</v></c><c r="C30" s="124"><f>SUM(C31:C33)</f><v>46442.521974374336</v></c><c r="D30" s="124"><f>SUM(D31:D33)</f><v>0</v></c><c r="E30" s="124"><f>SUM(E31:E33)</f><v>0</v></c><c r="F30" s="68"><f t="shared" si="0"/><v>46442.521974374336</v></c><c r="G30" s="124"><f t="shared" ref="G30:L30" si="8">SUM(G31:G33)</f><v>12017.836563108442</v></c><c r="H30" s="124"><f t="shared" si="8"/><v>0</v></c><c r="I30" s="124"><f t="shared" si="8"/><v>0</v></c><c r="J30" s="124"><f t="shared" si="8"/><v>9419.0547569913269</v></c><c r="K30" s="124"><f t="shared" si="8"/><v>0</v></c><c r="L30" s="124"><f t="shared" si="8"/><v>0</v></c><c r="M30" s="68"><f t="shared" si="2"/><v>21436.89132009977</v></c><c r="N30" s="124"><f t="shared" ref="N30:S30" si="9">SUM(N31:N33)</f><v>0</v></c><c r="O30" s="124"><f t="shared" si="9"/><v>0</v></c><c r="P30" s="124"><f t="shared" si="9"/><v>2028.3640500665763</v></c><c r="Q30" s="124"><f t="shared" si="9"/><v>0</v></c><c r="R30" s="124"><f t="shared" si="9"/><v>0</v></c><c r="S30" s="124"><f t="shared" si="9"/><v>676.39562376669107</v></c><c r="T30" s="68"><f t="shared" si="4"/><v>2704.7596738332672</v></c><c r="U30" s="68"><f t="shared" si="5"/><v>70584.172968307364</v></c></row><row r="31" spans="1:21" s="21" customFormat="1" ht="15.75"><c r="A31" s="22"/><c r="B31" s="79" t="str"><f>Translation!A73</f><v>Manufacturing</v></c><c r="C31" s="158"><v>45976.251801509075</v></c><c r="D31" s="158"><v>0</v></c><c r="E31" s="158"><v>0</v></c><c r="F31" s="68"><f t="shared" si="0"/><v>45976.251801509075</v></c><c r="G31" s="158"><v>11897.180782725995</v></c><c r="H31" s="158"><v>0</v></c><c r="I31" s="158"><v>0</v></c><c r="J31" s="158"><v>9324.490032616688</v></c><c r="K31" s="158"><v>0</v></c><c r="L31" s="158"><v>0</v></c><c r="M31" s="68"><f t="shared" si="2"/><v>21221.670815342681</v></c><c r="N31" s="158"><v>0</v></c><c r="O31" s="158"><v>0</v></c><c r="P31" s="158"><v>2028.3640500665763</v></c><c r="Q31" s="158"><v>0</v></c><c r="R31" s="158"><v>0</v></c><c r="S31" s="158"><v>676.39562376669107</v></c><c r="T31" s="68"><f t="shared" si="4"/><v>2704.7596738332672</v></c><c r="U31" s="68"><f t="shared" si="5"/><v>69902.682290685014</v></c></row><row r="32" spans="1:21" s="21" customFormat="1" ht="30"><c r="A32" s="22"/><c r="B32" s="198" t="str"><f>Translation!A74</f><v>Water supply, sewerage, waste management and remediation activities</v></c><c r="C32" s="158"><v>45.742402213277984</v></c><c r="D32" s="158"><v>0</v></c><c r="E32" s="158"><v>0</v></c><c r="F32" s="68"><f t="shared" si="0"/><v>45.742402213277984</v></c><c r="G32" s="158"><v>11.836668002363588</v></c><c r="H32" s="158"><v>0</v></c><c r="I32" s="158"><v>0</v></c><c r="J32" s="158"><v>9.2770627615984651</v></c><c r="K32" s="158"><v>0</v></c><c r="L32" s="158"><v>0</v></c><c r="M32" s="68"><f t="shared" si="2"/><v>21.113730763962053</v></c><c r="N32" s="158"><v>0</v></c><c r="O32" s="158"><v>0</v></c><c r="P32" s="158"><v>0</v></c><c r="Q32" s="158"><v>0</v></c><c r="R32" s="158"><v>0</v></c><c r="S32" s="158"><v>0</v></c><c r="T32" s="68"><f t="shared" si="4"/><v>0</v></c><c r="U32" s="68"><f t="shared" si="5"/><v>66.856132977240037</v></c></row><row r="33" spans="1:21" s="21" customFormat="1" ht="15.75"><c r="A33" s="22"/><c r="B33" s="198" t="str"><f>Translation!A75</f><v>Construction</v></c><c r="C33" s="158"><v>420.52777065198779</v></c><c r="D33" s="158"><v>0</v></c><c r="E33" s="158"><v>0</v></c><c r="F33" s="68"><f t="shared" si="0"/><v>420.52777065198779</v></c><c r="G33" s="158"><v>108.81911238008354</v></c><c r="H33" s="158"><v>0</v></c><c r="I33" s="158"><v>0</v></c><c r="J33" s="158"><v>85.287661613038921</v></c><c r="K33" s="158"><v>0</v></c><c r="L33" s="158"><v>0</v></c><c r="M33" s="68"><f t="shared" si="2"/><v>194.10677399312246</v></c><c r="N33" s="158"><v>0</v></c><c r="O33" s="158"><v>0</v></c><c r="P33" s="158"><v>0</v></c><c r="Q33" s="158"><v>0</v></c><c r="R33" s="158"><v>0</v></c><c r="S33" s="158"><v>0</v></c><c r="T33" s="68"><f t="shared" si="4"/><v>0</v></c><c r="U33" s="68"><f t="shared" si="5"/><v>614.63454464511028</v></c></row><row r="34" spans="1:21" s="21" customFormat="1" ht="15.75"><c r="A34" s="22"/><c r="B34" s="65" t="str"><f>Translation!A76</f><v>TERTIARY SECTOR</v></c><c r="C34" s="124"><f>SUM(C35:C42)</f><v>32142.295959871168</v></c><c r="D34" s="124"><f>SUM(D35:D42)</f><v>0</v></c><c r="E34" s="124"><f>SUM(E35:E42)</f><v>0</v></c><c r="F34" s="68"><f t="shared" si="0"/><v>32142.295959871168</v></c><c r="G34" s="124"><f t="shared" ref="G34:L34" si="10">SUM(G35:G42)</f><v>7444.8323566915878</v></c><c r="H34" s="124"><f t="shared" si="10"/><v>0</v></c><c r="I34" s="124"><f t="shared" si="10"/><v>0</v></c><c r="J34" s="124"><f t="shared" si="10"/><v>5834.9340379248151</v></c><c r="K34" s="124"><f t="shared" si="10"/><v>0</v></c><c r="L34" s="124"><f t="shared" si="10"/><v>0</v></c><c r="M34" s="68"><f t="shared" si="2"/><v>13279.766394616403</v></c><c r="N34" s="124"><f t="shared" ref="N34:S34" si="11">SUM(N35:N42)</f><v>0</v></c><c r="O34" s="124"><f t="shared" si="11"/><v>0</v></c><c r="P34" s="124"><f t="shared" si="11"/><v>1233.0129536051322</v></c><c r="Q34" s="124"><f t="shared" si="11"/><v>0</v></c><c r="R34" s="124"><f t="shared" si="11"/><v>0</v></c><c r="S34" s="124"><f t="shared" si="11"/><v>411.00431786837743</v></c><c r="T34" s="68"><f t="shared" si="4"/><v>1644.0172714735097</v></c><c r="U34" s="68"><f t="shared" si="5"/><v>47066.07962596108</v></c></row><row r="35" spans="1:21" s="21" customFormat="1" ht="30"><c r="A35" s="22"/><c r="B35" s="198" t="str"><f>Translation!A77</f><v xml:space="preserve">Wholesale and retail trade; repair of motor vehicles and motorcycles </v></c><c r="C35" s="158"><v>10892.834060348978</v></c><c r="D35" s="158"/><c r="E35" s="158"/><c r="F35" s="68"><f t="shared" si="0"/><v>10892.834060348978</v></c><c r="G35" s="158"><v>2818.7164236810063</v></c><c r="H35" s="158"><v>0</v></c><c r="I35" s="158"><v>0</v></c><c r="J35" s="158"><v>2209.1866701351628</v></c><c r="K35" s="158"><v>0</v></c><c r="L35" s="158"/><c r="M35" s="68"><f t="shared" si="2"/><v>5027.9030938161686</v></c><c r="N35" s="223"><v>0</v></c><c r="O35" s="223"><v>0</v></c><c r="P35" s="223"><v>466.83574544352774</v></c><c r="Q35" s="223"><v>0</v></c><c r="R35" s="223"><v>0</v></c><c r="S35" s="223"><v>155.61191514784258</v></c><c r="T35" s="68"><f t="shared" si="4"/><v>622.44766059137032</v></c><c r="U35" s="68"><f t="shared" si="5"/><v>16543.184814756518</v></c></row><row r="36" spans="1:21" s="21" customFormat="1" ht="15.75"><c r="A36" s="22"/><c r="B36" s="198" t="str"><f>Translation!A78</f><v>Accomodation and food service activities</v></c><c r="C36" s="158"><v>722.57008051816092</v></c><c r="D36" s="158"/><c r="E36" s="158"/><c r="F36" s="68"><f t="shared" si="0"/><v>722.57008051816092</v></c><c r="G36" s="158"><v>186.97798405200299</v></c><c r="H36" s="158"><v>0</v></c><c r="I36" s="158"><v>0</v></c><c r="J36" s="158"><v>146.54516733435591</v></c><c r="K36" s="158"><v>0</v></c><c r="L36" s="158"/><c r="M36" s="68"><f t="shared" si="2"/><v>333.5231513863589</v></c><c r="N36" s="223"><v>0</v></c><c r="O36" s="223"><v>0</v></c><c r="P36" s="223"><v>30.967289165064031</v></c><c r="Q36" s="223"><v>0</v></c><c r="R36" s="223"><v>0</v></c><c r="S36" s="223"><v>10.322429721688012</v></c><c r="T36" s="68"><f t="shared" si="4"/><v>41.289718886752041</v></c><c r="U36" s="68"><f t="shared" si="5"/><v>1097.3829507912719</v></c></row><row r="37" spans="1:21" s="21" customFormat="1" ht="15.75"><c r="A37" s="22"/><c r="B37" s="198" t="str"><f>Translation!A79</f><v>General public administration and social security</v></c><c r="C37" s="158"><v>1141.992943347668</v></c><c r="D37" s="158"/><c r="E37" s="158"/><c r="F37" s="68"><f t="shared" si="0"/><v>1141.992943347668</v></c><c r="G37" s="158"><v>295.51118169138408</v></c><c r="H37" s="158"><v>0</v></c><c r="I37" s="158"><v>0</v></c><c r="J37" s="158"><v>231.60874147671188</v></c><c r="K37" s="158"><v>0</v></c><c r="L37" s="158"/><c r="M37" s="68"><f t="shared" si="2"/><v>527.11992316809597</v></c><c r="N37" s="223"><v>0</v></c><c r="O37" s="223"><v>0</v></c><c r="P37" s="223"><v>48.942554714900048</v></c><c r="Q37" s="223"><v>0</v></c><c r="R37" s="223"><v>0</v></c><c r="S37" s="223"><v>16.314184904966687</v></c><c r="T37" s="68"><f t="shared" si="4"/><v>65.256739619866735</v></c><c r="U37" s="68"><f t="shared" si="5"/><v>1734.3696061356306</v></c></row><row r="38" spans="1:21" s="21" customFormat="1" ht="15.75"><c r="A38" s="22"/><c r="B38" s="198" t="str"><f>Translation!A80</f><v>Defense, justice, police and fire departments</v></c><c r="C38" s="158"><v>269.81222492163954</v></c><c r="D38" s="158"/><c r="E38" s="158"/><c r="F38" s="68"><f t="shared" si="0"/><v>269.81222492163954</v></c><c r="G38" s="158"><v>69.818758413379683</v></c><c r="H38" s="158"><v>0</v></c><c r="I38" s="158"><v>0</v></c><c r="J38" s="158"><v>54.720889663245302</v></c><c r="K38" s="158"><v>0</v></c><c r="L38" s="158"/><c r="M38" s="68"><f t="shared" si="2"/><v>124.53964807662499</v></c><c r="N38" s="223"><v>0</v></c><c r="O38" s="223"><v>0</v></c><c r="P38" s="223"><v>11.563381068070267</v></c><c r="Q38" s="223"><v>0</v></c><c r="R38" s="223"><v>0</v></c><c r="S38" s="223"><v>3.8544603560234227</v></c><c r="T38" s="68"><f t="shared" si="4"/><v>15.417841424093691</v></c><c r="U38" s="68"><f t="shared" si="5"/><v>409.76971442235822</v></c></row><row r="39" spans="1:21" s="21" customFormat="1" ht="15.75"><c r="A39" s="22"/><c r="B39" s="198" t="str"><f>Translation!A81</f><v>Education</v></c><c r="C39" s="158"><v>888.67814500509451</v></c><c r="D39" s="158"/><c r="E39" s="158"/><c r="F39" s="68"><f t="shared" si="0"/><v>888.67814500509451</v></c><c r="G39" s="158"><v>229.96142866165886</v></c><c r="H39" s="158"><v>0</v></c><c r="I39" s="158"><v>0</v></c><c r="J39" s="158"><v>180.23371154915029</v></c><c r="K39" s="158"><v>0</v></c><c r="L39" s="158"/><c r="M39" s="68"><f t="shared" si="2"/><v>410.19514021080914</v></c><c r="N39" s="223"><v>0</v></c><c r="O39" s="223"><v>0</v></c><c r="P39" s="223"><v>38.086206214504038</v></c><c r="Q39" s="223"><v>0</v></c><c r="R39" s="223"><v>0</v></c><c r="S39" s="223"><v>12.695402071501345</v></c><c r="T39" s="68"><f t="shared" si="4"/><v>50.78160828600538</v></c><c r="U39" s="68"><f t="shared" si="5"/><v>1349.6548935019091</v></c></row><row r="40" spans="1:21" s="21" customFormat="1" ht="15.75"><c r="A40" s="22"/><c r="B40" s="198" t="str"><f>Translation!A82</f><v>Human health and social work activities</v></c><c r="C40" s="158"><v>462.53524272281066</v></c><c r="D40" s="158"/><c r="E40" s="158"/><c r="F40" s="68"><f t="shared" si="0"/><v>462.53524272281066</v></c><c r="G40" s="158"><v>119.6893001372223</v></c><c r="H40" s="158"><v>0</v></c><c r="I40" s="158"><v>0</v></c><c r="J40" s="158"><v>93.807239422706161</v></c><c r="K40" s="158"><v>0</v></c><c r="L40" s="158"/><c r="M40" s="68"><f t="shared" si="2"/><v>213.49653955992846</v></c><c r="N40" s="223"><v>0</v></c><c r="O40" s="223"><v>0</v></c><c r="P40" s="223"><v>19.822938973834749</v></c><c r="Q40" s="223"><v>0</v></c><c r="R40" s="223"><v>0</v></c><c r="S40" s="223"><v>6.607646324611582</v></c><c r="T40" s="68"><f t="shared" si="4"/><v>26.430585298446331</v></c><c r="U40" s="68"><f t="shared" si="5"/><v>702.4623675811855</v></c></row><row r="41" spans="1:21" s="21" customFormat="1" ht="15.75"><c r="A41" s="22"/><c r="B41" s="198" t="str"><f>Translation!A83</f><v>Other services</v></c><c r="C41" s="158"><v>14391.879553922063</v></c><c r="D41" s="158"/><c r="E41" s="158"/><c r="F41" s="68"><f t="shared" si="0"/><v>14391.879553922063</v></c><c r="G41" s="158"><v>3724.1572800549329</v></c><c r="H41" s="158"><v>0</v></c><c r="I41" s="158"><v>0</v></c><c r="J41" s="158"><v>2918.8316183434827</v></c><c r="K41" s="158"><v>0</v></c><c r="L41" s="158"/><c r="M41" s="68"><f t="shared" si="2"/><v>6642.9888983984156</v></c><c r="N41" s="223"><v>0</v></c><c r="O41" s="223"><v>0</v></c><c r="P41" s="223"><v>616.79483802523146</v></c><c r="Q41" s="223"><v>0</v></c><c r="R41" s="223"><v>0</v></c><c r="S41" s="223"><v>205.59827934174379</v></c><c r="T41" s="68"><f t="shared" si="4"/><v>822.39311736697528</v></c><c r="U41" s="68"><f t="shared" si="5"/><v>21857.261569687456</v></c></row><row r="42" spans="1:21" s="21" customFormat="1" ht="15.75"><c r="A42" s="22"/><c r="B42" s="198" t="str"><f>Translation!A84</f><v>Public lighting</v></c><c r="C42" s="158"><v>3371.9937090847511</v></c><c r="D42" s="158"/><c r="E42" s="158"/><c r="F42" s="68"><f t="shared" si="0"/><v>3371.9937090847511</v></c><c r="G42" s="158"><v>0</v></c><c r="H42" s="158"><v>0</v></c><c r="I42" s="158"><v>0</v></c><c r="J42" s="158"><v>0</v></c><c r="K42" s="158"><v>0</v></c><c r="L42" s="158"/><c r="M42" s="68"><f t="shared" si="2"/><v>0</v></c><c r="N42" s="223"><v>0</v></c><c r="O42" s="223"><v>0</v></c><c r="P42" s="223"><v>0</v></c><c r="Q42" s="223"><v>0</v></c><c r="R42" s="223"><v>0</v></c><c r="S42" s="223"><v>0</v></c><c r="T42" s="68"><f t="shared" si="4"/><v>0</v></c><c r="U42" s="68"><f t="shared" si="5"/><v>3371.9937090847511</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126617.42060107176</v></c><c r="I43" s="124"><f t="shared" si="12"/><v>117402.2615406207</v></c><c r="J43" s="124"><f t="shared" si="12"/><v>0</v></c><c r="K43" s="124"><f>SUM(K44:K47)</f><v>0</v></c><c r="L43" s="124"><f t="shared" ref="L43" si="13">SUM(L44:L47)</f><v>0</v></c><c r="M43" s="68"><f t="shared" si="2"/><v>244019.68214169246</v></c><c r="N43" s="124"><f t="shared" ref="N43:S43" si="14">SUM(N44:N47)</f><v>0</v></c><c r="O43" s="124"><f t="shared" si="14"/><v>0</v></c><c r="P43" s="124"><f t="shared" si="14"/><v>0</v></c><c r="Q43" s="124"><f t="shared" si="14"/><v>0</v></c><c r="R43" s="124"><f t="shared" si="14"/><v>0</v></c><c r="S43" s="124"><f t="shared" si="14"/><v>0</v></c><c r="T43" s="68"><f t="shared" si="4"/><v>0</v></c><c r="U43" s="68"><f t="shared" si="5"/><v>244019.68214169246</v></c></row><row r="44" spans="1:21" s="21" customFormat="1" ht="30"><c r="A44" s="22"/><c r="B44" s="198" t="str"><f>Translation!A86</f><v>Passenger road transport and other passenger road transport services (public transports, taxi, tourism, school buses, etc.)</v></c><c r="C44" s="158"/><c r="D44" s="158"/><c r="E44" s="158"/><c r="F44" s="68"><f t="shared" si="0"/><v>0</v></c><c r="G44" s="158"><v>0</v></c><c r="H44" s="158"><v>2274.5792248048415</v></c><c r="I44" s="158"><v>2109.0363693851777</v></c><c r="J44" s="158"/><c r="K44" s="158"/><c r="L44" s="158"/><c r="M44" s="68"><f t="shared" si="2"/><v>4383.6155941900197</v></c><c r="N44" s="158"/><c r="O44" s="158"/><c r="P44" s="158"/><c r="Q44" s="158"/><c r="R44" s="158"/><c r="S44" s="158"><v>0</v></c><c r="T44" s="68"><f t="shared" si="4"/><v>0</v></c><c r="U44" s="68"><f t="shared" si="5"/><v>4383.6155941900197</v></c></row><row r="45" spans="1:21" s="21" customFormat="1" ht="15.75"><c r="A45" s="22"/><c r="B45" s="198" t="str"><f>Translation!A87</f><v>Freight transport by road and removal services</v></c><c r="C45" s="158"/><c r="D45" s="158"/><c r="E45" s="158"/><c r="F45" s="68"><f t="shared" si="0"/><v>0</v></c><c r="G45" s="158"><v>0</v></c><c r="H45" s="158"><v>36393.267596877464</v></c><c r="I45" s="158"><v>33744.581910162844</v></c><c r="J45" s="158"/><c r="K45" s="158"/><c r="L45" s="158"/><c r="M45" s="68"><f t="shared" si="2"/><v>70137.849507040315</v></c><c r="N45" s="158"/><c r="O45" s="158"/><c r="P45" s="158"/><c r="Q45" s="158"/><c r="R45" s="158"/><c r="S45" s="158"/><c r="T45" s="68"><f t="shared" si="4"/><v>0</v></c><c r="U45" s="68"><f t="shared" si="5"/><v>70137.849507040315</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v>87949.573779389466</v></c><c r="I47" s="158"><v>81548.643261072692</v></c><c r="J47" s="158"/><c r="K47" s="158"/><c r="L47" s="158"/><c r="M47" s="68"><f t="shared" si="2"/><v>169498.21704046216</v></c><c r="N47" s="158"/><c r="O47" s="158"/><c r="P47" s="158"/><c r="Q47" s="158"/><c r="R47" s="158"/><c r="S47" s="158"/><c r="T47" s="68"><f t="shared" si="4"/><v>0</v></c><c r="U47" s="68"><f t="shared" si="5"/><v>169498.21704046216</v></c></row><row r="48" spans="1:21" s="21" customFormat="1" ht="15.75"><c r="A48" s="22"/><c r="B48" s="77" t="str"><f>Translation!A117</f><v>TOTAL FOR INTERNAL MARKET</v></c><c r="C48" s="69"><f>C17+C27+C30+C34+C43</f><v>131135.73900620462</v></c><c r="D48" s="69"><f>D17+D27+D30+D34+D43</f><v>0</v></c><c r="E48" s="69"><f>E17+E27+E30+E34+E43</f><v>0</v></c><c r="F48" s="68"><f t="shared" si="0"/><v>131135.73900620462</v></c><c r="G48" s="69"><f>G17+G27+G30+G34+G43</f><v>42483.073555605362</v></c><c r="H48" s="69"><f t="shared" ref="H48:L48" si="15">H17+H27+H30+H34+H43</f><v>126639.42060107176</v></c><c r="I48" s="69"><f t="shared" si="15"/><v>117402.2615406207</v></c><c r="J48" s="69"><f>J17+J27+J30+J34+J43</f><v>19331.695677155352</v></c><c r="K48" s="69"><f t="shared" si="15"/><v>0</v></c><c r="L48" s="69"><f t="shared" si="15"/><v>0</v></c><c r="M48" s="68"><f>SUM(G48:L48)</f><v>305856.4513744532</v></c><c r="N48" s="69"><f t="shared" ref="N48:S48" si="16">N17+N27+N30+N34+N43</f><v>0</v></c><c r="O48" s="69"><f t="shared" si="16"/><v>298</v></c><c r="P48" s="69"><f t="shared" si="16"/><v>9272.8771343403005</v></c><c r="Q48" s="69"><f t="shared" si="16"/><v>165.70100093173215</v></c><c r="R48" s="69"><f t="shared" si="16"/><v>0</v></c><c r="S48" s="69"><f t="shared" si="16"/><v>6301.6636783378817</v></c><c r="T48" s="68"><f t="shared" si="4"/><v>16038.241813609915</v></c><c r="U48" s="68"><f t="shared" si="5"/><v>453030.43219426769</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4" t="str"><f>Translation!A120</f><v>PRODUCTION SECTOR</v></c><c r="C55" s="276" t="str"><f>Translation!A121</f><v>ENERGY SOURCE</v></c><c r="D55" s="277"/><c r="E55" s="277"/><c r="F55" s="277"/><c r="G55" s="277"/><c r="H55" s="277"/><c r="I55" s="277"/><c r="J55" s="277"/><c r="K55" s="277"/><c r="L55" s="277"/><c r="M55" s="277"/><c r="N55" s="277"/><c r="O55" s="277"/><c r="P55" s="277"/><c r="Q55" s="277"/><c r="R55" s="277"/><c r="S55" s="278"/><c r="T55" s="276" t="str"><f>Translation!A138</f><v>SECONDARY ENERGY CONVERSION</v></c><c r="U55" s="277"/><c r="V55" s="278"/><c r="W55" s="295" t="str"><f>Translation!A129</f><v>ENERGY FLUXES</v></c><c r="X55" s="296"/><c r="Y55" s="296"/><c r="Z55" s="296"/><c r="AA55" s="296"/><c r="AB55" s="297"/><c r="AC55" s="307" t="str"><f>Translation!A118</f><v>TOTAL</v></c><c r="AD55" s="249" t="str"><f>Translation!A137</f><v>Distribution losses and self-consumption</v></c></row><row r="56" spans="2:32" s="55" customFormat="1" ht="18" customHeight="1"><c r="B56" s="275"/><c r="C56" s="311" t="str"><f>Translation!A98</f><v>Fossil fuels</v></c><c r="D56" s="312"/><c r="E56" s="312"/><c r="F56" s="312"/><c r="G56" s="312"/><c r="H56" s="312"/><c r="I56" s="313"/><c r="J56" s="311" t="str"><f>Translation!A106</f><v>Renewable energy sources (from systems connected to public networks)</v></c><c r="K56" s="312"/><c r="L56" s="312"/><c r="M56" s="312"/><c r="N56" s="312"/><c r="O56" s="312"/><c r="P56" s="312"/><c r="Q56" s="312"/><c r="R56" s="313"/><c r="S56" s="249" t="str"><f>Translation!A116</f><v>Subtotal</v></c><c r="T56" s="305" t="str"><f>Translation!A139</f><v>Electricity conversion to cold</v></c><c r="U56" s="305" t="str"><f>Translation!A140</f><v>Heat conversion to cold</v></c><c r="V56" s="249" t="str"><f>Translation!A116</f><v>Subtotal</v></c><c r="W56" s="309" t="str"><f>Translation!A130</f><v>Storage</v></c><c r="X56" s="310"/><c r="Y56" s="308" t="str"><f>Translation!A133</f><v>External connection</v></c><c r="Z56" s="308"/><c r="AA56" s="274" t="str"><f>Translation!A136</f><v>Reexportation and external consumption</v></c><c r="AB56" s="249" t="str"><f>Translation!A116</f><v>Subtotal</v></c><c r="AC56" s="307"/><c r="AD56" s="249"/></row><row r="57" spans="2:32" s="55" customFormat="1" ht="69.75" customHeight="1"><c r="B57" s="73" t="str"><f>Translation!A122</f><v>Energy product</v></c><c r="C57" s="227" t="str"><f>Translation!A99</f><v>Fueloil</v></c><c r="D57" s="227" t="str"><f>Translation!A100</f><v>Diesel</v></c><c r="E57" s="227" t="str"><f>Translation!A101</f><v>Gasoline</v></c><c r="F57" s="227" t="str"><f>Translation!A102</f><v>LPG</v></c><c r="G57" s="227" t="str"><f>Translation!A103</f><v>Natural gas</v></c><c r="H57" s="227" t="str"><f>Translation!A104</f><v>Coal</v></c><c r="I57" s="227" t="str"><f>Translation!A116</f><v>Subtotal</v></c><c r="J57" s="227" t="str"><f>Translation!A108</f><v>Hydro</v></c><c r="K57" s="227" t="str"><f>Translation!A109</f><v>Wind</v></c><c r="L57" s="227" t="str"><f>Translation!A110</f><v>Solar</v></c><c r="M57" s="227" t="str"><f>Translation!A111</f><v>Geothermal</v></c><c r="N57" s="227" t="str"><f>Translation!A112</f><v>Ocean</v></c><c r="O57" s="227" t="str"><f>Translation!A113</f><v>Biomass</v></c><c r="P57" s="227" t="str"><f>Translation!A114</f><v>Urban waste</v></c><c r="Q57" s="227" t="str"><f>Translation!A115</f><v>Energy recovery</v></c><c r="R57" s="227" t="str"><f>Translation!A116</f><v>Subtotal</v></c><c r="S57" s="249"/><c r="T57" s="306"/><c r="U57" s="306"/><c r="V57" s="249"/><c r="W57" s="232" t="str"><f>Translation!A131</f><v>Input to storage</v></c><c r="X57" s="232" t="str"><f>Translation!A132</f><v>Output from storage</v></c><c r="Y57" s="232" t="str"><f>Translation!A134</f><v>Import to island</v></c><c r="Z57" s="232" t="str"><f>Translation!A135</f><v>Export from island</v></c><c r="AA57" s="275"/><c r="AB57" s="249"/><c r="AC57" s="307"/><c r="AD57" s="249"/></row><row r="58" spans="2:32" s="55" customFormat="1" ht="15.75"><c r="B58" s="199" t="str"><f>Translation!A123</f><v>Electricity</v></c><c r="C58" s="164"><v>33321.243974960969</v></c><c r="D58" s="164"><v>1836.1637729917975</v></c><c r="E58" s="164"/><c r="F58" s="164"/><c r="G58" s="164"><v>95978.331258251856</v></c><c r="H58" s="164"/><c r="I58" s="63"><f>SUM(C58:H58)</f><v>131135.73900620462</v></c><c r="J58" s="164"/><c r="K58" s="164"/><c r="L58" s="164"/><c r="M58" s="164"/><c r="N58" s="164"/><c r="O58" s="164"/><c r="P58" s="164"/><c r="Q58" s="164"/><c r="R58" s="63"><f>SUM(J58:Q58)</f><v>0</v></c><c r="S58" s="63"><f>I58+R58</f><v>131135.73900620462</v></c><c r="T58" s="164"/><c r="U58" s="164"/><c r="V58" s="63"><f>-T58</f><v>0</v></c><c r="W58" s="164"/><c r="X58" s="164"/><c r="Y58" s="164"/><c r="Z58" s="164"/><c r="AA58" s="201"><f>$C$49+$C$50+$C$51</f><v>0</v></c><c r="AB58" s="63"><f>-SUM(W58)+SUM(X58:Y58)-SUM(Z58:AA58)</f><v>0</v></c><c r="AC58" s="68"><f>S58+V58+AB58</f><v>131135.73900620462</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6" t="str"><f>Translation!A118</f><v>TOTAL</v></c><c r="C61" s="57"><f t="shared" ref="C61:AD61" si="19">SUM(C58:C60)</f><v>33321.243974960969</v></c><c r="D61" s="57"><f t="shared" si="19"/><v>1836.1637729917975</v></c><c r="E61" s="57"><f t="shared" si="19"/><v>0</v></c><c r="F61" s="57"><f t="shared" si="19"/><v>0</v></c><c r="G61" s="57"><f t="shared" si="19"/><v>95978.331258251856</v></c><c r="H61" s="57"><f t="shared" si="19"/><v>0</v></c><c r="I61" s="57"><f t="shared" si="19"/><v>131135.73900620462</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131135.73900620462</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131135.73900620462</v></c><c r="AD61" s="57"><f t="shared" si="19"/><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4" t="str"><f>Translation!A120</f><v>PRODUCTION SECTOR</v></c><c r="C64" s="302" t="str"><f>Translation!A142</f><v>PRIMARY ENERGY SOURCE</v></c><c r="D64" s="303"/><c r="E64" s="303"/><c r="F64" s="303"/><c r="G64" s="303"/><c r="H64" s="303"/><c r="I64" s="303"/><c r="J64" s="303"/><c r="K64" s="303"/><c r="L64" s="303"/><c r="M64" s="303"/><c r="N64" s="303"/><c r="O64" s="303"/><c r="P64" s="303"/><c r="Q64" s="303"/><c r="R64" s="303"/><c r="S64" s="304"/><c r="T64" s="298" t="str"><f>Translation!A127</f><v>Conversion losses from primary to secondary energy</v></c><c r="U64" s="61"/><c r="V64" s="61"/><c r="W64" s="72"/><c r="X64" s="61"/><c r="Y64" s="61"/><c r="Z64" s="61"/><c r="AA64" s="61"/><c r="AB64" s="61"/><c r="AC64" s="61"/><c r="AD64" s="61"/><c r="AE64" s="61"/></row><row r="65" spans="2:32" s="55" customFormat="1" ht="15" customHeight="1"><c r="B65" s="275"/><c r="C65" s="302" t="str"><f>Translation!A98</f><v>Fossil fuels</v></c><c r="D65" s="303"/><c r="E65" s="303"/><c r="F65" s="303"/><c r="G65" s="303"/><c r="H65" s="303"/><c r="I65" s="304"/><c r="J65" s="302" t="str"><f>Translation!A107</f><v>Renewable energy sources</v></c><c r="K65" s="303"/><c r="L65" s="303"/><c r="M65" s="303"/><c r="N65" s="303"/><c r="O65" s="303"/><c r="P65" s="303"/><c r="Q65" s="303"/><c r="R65" s="304"/><c r="S65" s="301" t="str"><f>Translation!A118</f><v>TOTAL</v></c><c r="T65" s="299"/><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301"/><c r="T66" s="300"/><c r="U66" s="61"/><c r="V66" s="61"/><c r="W66" s="72"/><c r="X66" s="61"/><c r="Y66" s="61"/><c r="Z66" s="61"/><c r="AA66" s="61"/><c r="AB66" s="61"/><c r="AC66" s="61"/><c r="AD66" s="61"/><c r="AE66" s="61"/></row><row r="67" spans="2:32" s="55" customFormat="1" ht="15.75"><c r="B67" s="199" t="str"><f>Translation!A123</f><v>Electricity</v></c><c r="C67" s="164"><v>95203.554214174204</v></c><c r="D67" s="164"><v>5923.1089451348307</v></c><c r="E67" s="164"/><c r="F67" s="164"/><c r="G67" s="164"><v>218132.57104148148</v></c><c r="H67" s="164"/><c r="I67" s="63"><f>SUM(C67:H67)</f><v>319259.23420079052</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319259.23420079052</v></c><c r="T67" s="75"><f>S67-AC58+AB58</f><v>188123.49519458591</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6" t="str"><f>Translation!A118</f><v>TOTAL</v></c><c r="C70" s="57"><f t="shared" ref="C70:S70" si="22">SUM(C67:C69)</f><v>95203.554214174204</v></c><c r="D70" s="57"><f t="shared" si="22"/><v>5923.1089451348307</v></c><c r="E70" s="57"><f t="shared" si="22"/><v>0</v></c><c r="F70" s="57"><f t="shared" si="22"/><v>0</v></c><c r="G70" s="57"><f t="shared" si="22"/><v>218132.57104148148</v></c><c r="H70" s="57"><f t="shared" si="22"/><v>0</v></c><c r="I70" s="57"><f t="shared" si="22"/><v>319259.23420079052</v></c><c r="J70" s="57"><f t="shared" si="22"/><v>0</v></c><c r="K70" s="57"><f t="shared" si="22"/><v>0</v></c><c r="L70" s="57"><f t="shared" si="22"/><v>0</v></c><c r="M70" s="57"><f t="shared" si="22"/><v>0</v></c><c r="N70" s="57"><f t="shared" si="22"/><v>0</v></c><c r="O70" s="57"><f t="shared" si="22"/><v>0</v></c><c r="P70" s="57"><f t="shared" si="22"/><v>0</v></c><c r="Q70" s="57"><f t="shared" si="22"/><v>0</v></c><c r="R70" s="57"><f t="shared" si="22"/><v>0</v></c><c r="S70" s="57"><f t="shared" si="22"/><v>319259.23420079052</v></c><c r="T70" s="75"><f>S70-AC61+AB61</f><v>188123.49519458591</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7" t="str"><f>Translation!A122</f><v>Energy product</v></c><c r="C73" s="276" t="str"><f>Translation!A142</f><v>PRIMARY ENERGY SOURCE</v></c><c r="D73" s="277"/><c r="E73" s="277"/><c r="F73" s="277"/><c r="G73" s="277"/><c r="H73" s="277"/><c r="I73" s="277"/><c r="J73" s="277"/><c r="K73" s="277"/><c r="L73" s="277"/><c r="M73" s="277"/><c r="N73" s="277"/><c r="O73" s="277"/><c r="P73" s="277"/><c r="Q73" s="277"/><c r="R73" s="277"/><c r="S73" s="277"/><c r="T73" s="277"/><c r="U73" s="277"/><c r="V73" s="277"/><c r="W73" s="277"/><c r="X73" s="277"/><c r="Y73" s="278"/></row><row r="74" spans="2:32" s="55" customFormat="1" ht="15" customHeight="1"><c r="B74" s="318"/><c r="C74" s="276" t="str"><f>Translation!A98</f><v>Fossil fuels</v></c><c r="D74" s="277"/><c r="E74" s="277"/><c r="F74" s="277"/><c r="G74" s="277"/><c r="H74" s="277"/><c r="I74" s="278"/><c r="J74" s="276" t="str"><f>Translation!A107</f><v>Renewable energy sources</v></c><c r="K74" s="277"/><c r="L74" s="277"/><c r="M74" s="277"/><c r="N74" s="277"/><c r="O74" s="277"/><c r="P74" s="277"/><c r="Q74" s="277"/><c r="R74" s="278"/><c r="S74" s="295" t="str"><f>Translation!A123</f><v>Electricity</v></c><c r="T74" s="296"/><c r="U74" s="296"/><c r="V74" s="297"/><c r="W74" s="226" t="str"><f>Translation!A124</f><v>Heat</v></c><c r="X74" s="226" t="str"><f>Translation!A125</f><v>Cold</v></c><c r="Y74" s="274" t="str"><f>Translation!A118</f><v>TOTAL</v></c></row><row r="75" spans="2:32" s="55" customFormat="1" ht="46.5" customHeight="1"><c r="B75" s="319"/><c r="C75" s="227" t="str"><f>Translation!A99</f><v>Fueloil</v></c><c r="D75" s="227" t="str"><f>Translation!A100</f><v>Diesel</v></c><c r="E75" s="227" t="str"><f>Translation!A101</f><v>Gasoline</v></c><c r="F75" s="227" t="str"><f>Translation!A102</f><v>LPG</v></c><c r="G75" s="227" t="str"><f>Translation!A103</f><v>Natural gas</v></c><c r="H75" s="227" t="str"><f>Translation!A104</f><v>Coal</v></c><c r="I75" s="227" t="str"><f>Translation!A116</f><v>Subtotal</v></c><c r="J75" s="227" t="str"><f>Translation!A108</f><v>Hydro</v></c><c r="K75" s="227" t="str"><f>Translation!A109</f><v>Wind</v></c><c r="L75" s="227" t="str"><f>Translation!A110</f><v>Solar</v></c><c r="M75" s="227" t="str"><f>Translation!A111</f><v>Geothermal</v></c><c r="N75" s="227" t="str"><f>Translation!A112</f><v>Ocean</v></c><c r="O75" s="227" t="str"><f>Translation!A113</f><v>Biomass</v></c><c r="P75" s="227" t="str"><f>Translation!A114</f><v>Urban waste</v></c><c r="Q75" s="227" t="str"><f>Translation!A115</f><v>Energy recovery</v></c><c r="R75" s="227" t="str"><f>Translation!A116</f><v>Subtotal</v></c><c r="S75" s="58" t="str"><f>Translation!A144</f><v>Imported electricity (cable)</v></c><c r="T75" s="58" t="str"><f>Translation!A145</f><v>Exported electricity (cable)</v></c><c r="U75" s="58" t="str"><f>Translation!A136</f><v>Reexportation and external consumption</v></c><c r="V75" s="231" t="str"><f>Translation!A116</f><v>Subtotal</v></c><c r="W75" s="231" t="str"><f>Translation!A136</f><v>Reexportation and external consumption</v></c><c r="X75" s="231" t="str"><f>Translation!A136</f><v>Reexportation and external consumption</v></c><c r="Y75" s="275"/></row><row r="76" spans="2:32" s="55" customFormat="1" ht="15.75"><c r="B76" s="229" t="str"><f>Translation!A118</f><v>TOTAL</v></c><c r="C76" s="201"><f t="shared" ref="C76:H76" si="23">G48+C70</f><v>137686.62776977956</v></c><c r="D76" s="201"><f t="shared" si="23"/><v>132562.52954620658</v></c><c r="E76" s="201"><f t="shared" si="23"/><v>117402.2615406207</v></c><c r="F76" s="201"><f t="shared" si="23"/><v>19331.695677155352</v></c><c r="G76" s="201"><f t="shared" si="23"/><v>218132.57104148148</v></c><c r="H76" s="201"><f t="shared" si="23"/><v>0</v></c><c r="I76" s="57"><f>SUM(C76:H76)</f><v>625115.68557524367</v></c><c r="J76" s="201"><f t="shared" ref="J76:O76" si="24">N48+J70</f><v>0</v></c><c r="K76" s="201"><f t="shared" si="24"/><v>298</v></c><c r="L76" s="201"><f t="shared" si="24"/><v>9272.8771343403005</v></c><c r="M76" s="201"><f t="shared" si="24"/><v>165.70100093173215</v></c><c r="N76" s="201"><f t="shared" si="24"/><v>0</v></c><c r="O76" s="201"><f t="shared" si="24"/><v>6301.6636783378817</v></c><c r="P76" s="201"><f>P70</f><v>0</v></c><c r="Q76" s="201"><f>Q70</f><v>0</v></c><c r="R76" s="57"><f>SUM(J76:Q76)</f><v>16038.241813609915</v></c><c r="S76" s="201"><f>Y61</f><v>0</v></c><c r="T76" s="201"><f>Z61</f><v>0</v></c><c r="U76" s="201"><f>$C$49+$C$50+$C$51</f><v>0</v></c><c r="V76" s="57"><f>S76-T76-U76</f><v>0</v></c><c r="W76" s="201"><f>$D$49+$D$50+$D$51</f><v>0</v></c><c r="X76" s="201"><f>$E$49+$E$50+$E$51</f><v>0</v></c><c r="Y76" s="57"><f>I76+R76+V76-W76-X76</f><v>641153.92738885363</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4" t="str"><f>Translation!A120</f><v>PRODUCTION SECTOR</v></c><c r="C79" s="302" t="str"><f>Translation!A142</f><v>PRIMARY ENERGY SOURCE</v></c><c r="D79" s="303"/><c r="E79" s="303"/><c r="F79" s="303"/><c r="G79" s="303"/><c r="H79" s="303"/><c r="I79" s="303"/><c r="J79" s="303"/><c r="K79" s="303"/><c r="L79" s="303"/><c r="M79" s="303"/><c r="N79" s="303"/><c r="O79" s="303"/><c r="P79" s="303"/><c r="Q79" s="303"/><c r="R79" s="303"/><c r="S79" s="304"/><c r="T79" s="72"/><c r="V79" s="61"/><c r="W79" s="61"/><c r="X79" s="72"/><c r="Y79" s="61"/><c r="Z79" s="61"/><c r="AA79" s="61"/><c r="AB79" s="61"/><c r="AC79" s="61"/><c r="AD79" s="61"/><c r="AE79" s="61"/><c r="AF79" s="61"/></row><row r="80" spans="2:32" s="55" customFormat="1" ht="15" customHeight="1"><c r="B80" s="275"/><c r="C80" s="302" t="str"><f>Translation!A98</f><v>Fossil fuels</v></c><c r="D80" s="303"/><c r="E80" s="303"/><c r="F80" s="303"/><c r="G80" s="303"/><c r="H80" s="303"/><c r="I80" s="304"/><c r="J80" s="302" t="str"><f>Translation!A107</f><v>Renewable energy sources</v></c><c r="K80" s="303"/><c r="L80" s="303"/><c r="M80" s="303"/><c r="N80" s="303"/><c r="O80" s="303"/><c r="P80" s="303"/><c r="Q80" s="303"/><c r="R80" s="304"/><c r="S80" s="301"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301"/><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0.31</v></c><c r="E82" s="203" t="str"><f t="shared" si="25"/><v>-</v></c><c r="F82" s="203" t="str"><f t="shared" si="25"/><v>-</v></c><c r="G82" s="203"><f t="shared" si="25"/><v>0.44</v></c><c r="H82" s="203" t="str"><f t="shared" si="25"/><v>-</v></c><c r="I82" s="71"><f t="shared" si="25"/><v>0.41075002680652273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0.41075002680652273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5" t="str"><f>Translation!A56</f><v>DEMAND SECTOR</v></c><c r="C88" s="279" t="str"><f>Translation!A93</f><v>ENERGY FOR FINAL USE</v></c><c r="D88" s="280"/><c r="E88" s="280"/><c r="F88" s="280"/><c r="G88" s="280"/><c r="H88" s="280"/><c r="I88" s="280"/><c r="J88" s="280"/><c r="K88" s="280"/><c r="L88" s="280"/><c r="M88" s="280"/><c r="N88" s="280"/><c r="O88" s="280"/><c r="P88" s="280"/><c r="Q88" s="280"/><c r="R88" s="280"/><c r="S88" s="280"/><c r="T88" s="280"/><c r="U88" s="281"/></row><row r="89" spans="1:32" s="55" customFormat="1" ht="18" customHeight="1"><c r="B89" s="306"/><c r="C89" s="279" t="str"><f>Translation!A94</f><v>Centralized energy services</v></c><c r="D89" s="280"/><c r="E89" s="280"/><c r="F89" s="281"/><c r="G89" s="279" t="str"><f>Translation!A98</f><v>Fossil fuels</v></c><c r="H89" s="280"/><c r="I89" s="280"/><c r="J89" s="280"/><c r="K89" s="280"/><c r="L89" s="280"/><c r="M89" s="281"/><c r="N89" s="279" t="str"><f>Translation!A105</f><v>Renewable energy sources (excluding electricity and heat sold to public networks)</v></c><c r="O89" s="280"/><c r="P89" s="280"/><c r="Q89" s="280"/><c r="R89" s="280"/><c r="S89" s="280"/><c r="T89" s="281"/><c r="U89" s="288" t="str"><f>Translation!A118</f><v>TOTAL</v></c></row><row r="90" spans="1:32" s="55" customFormat="1" ht="67.5" customHeight="1"><c r="B90" s="65" t="str"><f>Translation!A58</f><v>Sector description</v></c><c r="C90" s="234" t="str"><f>Translation!A95</f><v>Electricity from public grid</v></c><c r="D90" s="234" t="str"><f>Translation!A96</f><v>Heat from district heating</v></c><c r="E90" s="234" t="str"><f>Translation!A97</f><v>Cold from district cooling</v></c><c r="F90" s="234" t="str"><f>Translation!A116</f><v>Subtotal</v></c><c r="G90" s="234" t="str"><f>Translation!A99</f><v>Fueloil</v></c><c r="H90" s="234" t="str"><f>Translation!A100</f><v>Diesel</v></c><c r="I90" s="234" t="str"><f>Translation!A101</f><v>Gasoline</v></c><c r="J90" s="234" t="str"><f>Translation!A102</f><v>LPG</v></c><c r="K90" s="234" t="str"><f>Translation!A103</f><v>Natural gas</v></c><c r="L90" s="234" t="str"><f>Translation!A104</f><v>Coal</v></c><c r="M90" s="234" t="str"><f>Translation!A116</f><v>Subtotal</v></c><c r="N90" s="234" t="str"><f>Translation!A108</f><v>Hydro</v></c><c r="O90" s="234" t="str"><f>Translation!A109</f><v>Wind</v></c><c r="P90" s="234" t="str"><f>Translation!A110</f><v>Solar</v></c><c r="Q90" s="234" t="str"><f>Translation!A111</f><v>Geothermal</v></c><c r="R90" s="234" t="str"><f>Translation!A112</f><v>Ocean</v></c><c r="S90" s="234" t="str"><f>Translation!A113</f><v>Biomass</v></c><c r="T90" s="234" t="str"><f>Translation!A116</f><v>Subtotal</v></c><c r="U90" s="290"/></row><row r="91" spans="1:32" s="21" customFormat="1" ht="15.75"><c r="A91" s="22"/><c r="B91" s="70" t="str"><f>Translation!A59</f><v>RESIDENTIAL</v></c><c r="C91" s="68"><f>SUM(C92:C100)</f><v>26340.426956095063</v></c><c r="D91" s="68"><f>SUM(D92:D100)</f><v>0</v></c><c r="E91" s="68"><f>SUM(E92:E100)</f><v>0</v></c><c r="F91" s="68"><f t="shared" ref="F91:F122" si="27">SUM(C91:E91)</f><v>26340.426956095063</v></c><c r="G91" s="68"><f t="shared" ref="G91:L91" si="28">SUM(G92:G100)</f><v>6082.416382406388</v></c><c r="H91" s="68"><f t="shared" si="28"/><v>0</v></c><c r="I91" s="68"><f t="shared" si="28"/><v>0</v></c><c r="J91" s="68"><f t="shared" si="28"/><v>749.23558809571489</v></c><c r="K91" s="68"><f t="shared" si="28"/><v>0</v></c><c r="L91" s="68"><f t="shared" si="28"/><v>0</v></c><c r="M91" s="68"><f t="shared" ref="M91:M122" si="29">SUM(G91:L91)</f><v>6831.6519705021028</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33172.078926597169</v></c></row><row r="92" spans="1:32" s="21" customFormat="1" ht="15.75"><c r="A92" s="22"/><c r="B92" s="197" t="str"><f>Translation!A60</f><v>Hot water</v></c><c r="C92" s="200"><f t="shared" ref="C92:C100" si="33">IF(C$48&gt;0, ($S$128+$V$137)/C$48,0)*C18</f><v>790.21280868285146</v></c><c r="D92" s="200"><f t="shared" ref="D92:D100" si="34">IF(D$48&gt;0, ($S$129)/D$48,0)*D18</f><v>0</v></c><c r="E92" s="200"><f t="shared" ref="E92:E100" si="35">IF(E$48&gt;0, ($S$130)/E$48,0)*E18</f><v>0</v></c><c r="F92" s="68"><f t="shared" si="27"/><v>790.21280868285146</v></c><c r="G92" s="200"><f>'CO2 factors'!C$7*G18</f><v>350.35139838027277</v></c><c r="H92" s="200"><f>'CO2 factors'!D$7*H18</f><v>0</v></c><c r="I92" s="200"><f>'CO2 factors'!E$7*I18</f><v>0</v></c><c r="J92" s="200"><f>'CO2 factors'!F$7*J18</f><v>21.526967642413062</v></c><c r="K92" s="200"><f>'CO2 factors'!G$7*K18</f><v>0</v></c><c r="L92" s="200"><f>'CO2 factors'!H$7*L18</f><v>0</v></c><c r="M92" s="68"><f t="shared" si="29"/><v>371.87836602268584</v></c><c r="N92" s="200"><f>'CO2 factors'!J$7*N18</f><v>0</v></c><c r="O92" s="200"><f>'CO2 factors'!K$7*O18</f><v>0</v></c><c r="P92" s="200"><f>'CO2 factors'!L$7*P18</f><v>0</v></c><c r="Q92" s="200"><f>'CO2 factors'!M$7*Q18</f><v>0</v></c><c r="R92" s="200"><f>'CO2 factors'!N$7*R18</f><v>0</v></c><c r="S92" s="200"><f>'CO2 factors'!O$7*S18</f><v>0</v></c><c r="T92" s="68"><f t="shared" si="31"/><v>0</v></c><c r="U92" s="68"><f t="shared" si="32"/><v>1162.0911747055372</v></c></row><row r="93" spans="1:32" s="21" customFormat="1" ht="15.75"><c r="A93" s="22"/><c r="B93" s="197" t="str"><f>Translation!A61</f><v>Heating and cooling</v></c><c r="C93" s="200"><f t="shared" si="33"/><v>18965.107408388445</v></c><c r="D93" s="200"><f t="shared" si="34"/><v>0</v></c><c r="E93" s="200"><f t="shared" si="35"/><v>0</v></c><c r="F93" s="68"><f t="shared" si="27"/><v>18965.107408388445</v></c><c r="G93" s="200"><f>'CO2 factors'!C$7*G19</f><v>5732.0649840261149</v></c><c r="H93" s="200"><f>'CO2 factors'!D$7*H19</f><v>0</v></c><c r="I93" s="200"><f>'CO2 factors'!E$7*I19</f><v>0</v></c><c r="J93" s="200"><f>'CO2 factors'!F$7*J19</f><v>580.0951280481836</v></c><c r="K93" s="200"><f>'CO2 factors'!G$7*K19</f><v>0</v></c><c r="L93" s="200"><f>'CO2 factors'!H$7*L19</f><v>0</v></c><c r="M93" s="68"><f t="shared" si="29"/><v>6312.160112074298</v></c><c r="N93" s="200"><f>'CO2 factors'!J$7*N19</f><v>0</v></c><c r="O93" s="200"><f>'CO2 factors'!K$7*O19</f><v>0</v></c><c r="P93" s="200"><f>'CO2 factors'!L$7*P19</f><v>0</v></c><c r="Q93" s="200"><f>'CO2 factors'!M$7*Q19</f><v>0</v></c><c r="R93" s="200"><f>'CO2 factors'!N$7*R19</f><v>0</v></c><c r="S93" s="200"><f>'CO2 factors'!O$7*S19</f><v>0</v></c><c r="T93" s="68"><f t="shared" si="31"/><v>0</v></c><c r="U93" s="68"><f t="shared" si="32"/><v>25277.267520462745</v></c></row><row r="94" spans="1:32" s="21" customFormat="1" ht="15.75"><c r="A94" s="22"/><c r="B94" s="197" t="str"><f>Translation!A62</f><v>Lighting</v></c><c r="C94" s="200"><f t="shared" si="33"/><v>1053.6170782438016</v></c><c r="D94" s="200"><f t="shared" si="34"/><v>0</v></c><c r="E94" s="200"><f t="shared" si="35"/><v>0</v></c><c r="F94" s="68"><f t="shared" si="27"/><v>1053.6170782438016</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1053.6170782438016</v></c></row><row r="95" spans="1:32" s="21" customFormat="1" ht="15.75"><c r="A95" s="22"/><c r="B95" s="197" t="str"><f>Translation!A63</f><v>Cooking</v></c><c r="C95" s="200"><f t="shared" si="33"/><v>790.21280868285146</v></c><c r="D95" s="200"><f t="shared" si="34"/><v>0</v></c><c r="E95" s="200"><f t="shared" si="35"/><v>0</v></c><c r="F95" s="68"><f t="shared" si="27"/><v>790.21280868285146</v></c><c r="G95" s="200"><f>'CO2 factors'!C$7*G21</f><v>0</v></c><c r="H95" s="200"><f>'CO2 factors'!D$7*H21</f><v>0</v></c><c r="I95" s="200"><f>'CO2 factors'!E$7*I21</f><v>0</v></c><c r="J95" s="200"><f>'CO2 factors'!F$7*J21</f><v>147.61349240511819</v></c><c r="K95" s="200"><f>'CO2 factors'!G$7*K21</f><v>0</v></c><c r="L95" s="200"><f>'CO2 factors'!H$7*L21</f><v>0</v></c><c r="M95" s="68"><f t="shared" si="29"/><v>147.61349240511819</v></c><c r="N95" s="200"><f>'CO2 factors'!J$7*N21</f><v>0</v></c><c r="O95" s="200"><f>'CO2 factors'!K$7*O21</f><v>0</v></c><c r="P95" s="200"><f>'CO2 factors'!L$7*P21</f><v>0</v></c><c r="Q95" s="200"><f>'CO2 factors'!M$7*Q21</f><v>0</v></c><c r="R95" s="200"><f>'CO2 factors'!N$7*R21</f><v>0</v></c><c r="S95" s="200"><f>'CO2 factors'!O$7*S21</f><v>0</v></c><c r="T95" s="68"><f t="shared" si="31"/><v>0</v></c><c r="U95" s="68"><f t="shared" si="32"/><v>937.82630108796968</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4741.2768520971113</v></c><c r="D100" s="200"><f t="shared" si="34"/><v>0</v></c><c r="E100" s="200"><f t="shared" si="35"/><v>0</v></c><c r="F100" s="68"><f t="shared" si="27"/><v>4741.2768520971113</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4741.2768520971113</v></c></row><row r="101" spans="1:21" s="21" customFormat="1" ht="15.75"><c r="A101" s="22"/><c r="B101" s="70" t="str"><f>Translation!A69</f><v>PRIMARY SECTOR</v></c><c r="C101" s="68"><f>SUM(C102:C103)</f><v>2595.1934449829932</v></c><c r="D101" s="68"><f>SUM(D102:D103)</f><v>0</v></c><c r="E101" s="68"><f>SUM(E102:E103)</f><v>0</v></c><c r="F101" s="68"><f t="shared" si="27"/><v>2595.1934449829932</v></c><c r="G101" s="68"><f t="shared" ref="G101:L101" si="36">SUM(G102:G103)</f><v>340.2765109833021</v></c><c r="H101" s="68"><f t="shared" si="36"/><v>5.8740000000000006</v></c><c r="I101" s="68"><f t="shared" si="36"/><v>0</v></c><c r="J101" s="68"><f t="shared" si="36"/><v>229.41406364169575</v></c><c r="K101" s="68"><f t="shared" si="36"/><v>0</v></c><c r="L101" s="68"><f t="shared" si="36"/><v>0</v></c><c r="M101" s="68"><f t="shared" si="29"/><v>575.56457462499793</v></c><c r="N101" s="68"><f t="shared" ref="N101:S101" si="37">SUM(N102:N103)</f><v>0</v></c><c r="O101" s="68"><f t="shared" si="37"/><v>0</v></c><c r="P101" s="68"><f t="shared" si="37"/><v>0</v></c><c r="Q101" s="68"><f t="shared" si="37"/><v>0</v></c><c r="R101" s="68"><f t="shared" si="37"/><v>0</v></c><c r="S101" s="68"><f t="shared" si="37"/><v>0</v></c><c r="T101" s="68"><f t="shared" si="31"/><v>0</v></c><c r="U101" s="68"><f t="shared" si="32"/><v>3170.7580196079912</v></c></row><row r="102" spans="1:21" s="21" customFormat="1" ht="15.75"><c r="A102" s="22"/><c r="B102" s="198" t="str"><f>Translation!A70</f><v>Agriculture, forestry and fishing</v></c><c r="C102" s="200"><f>IF(C$48&gt;0, ($S$128+$V$137)/C$48,0)*C28</f><v>2587.207415119326</v></c><c r="D102" s="200"><f>IF(D$48&gt;0, ($S$129)/D$48,0)*D28</f><v>0</v></c><c r="E102" s="200"><f>IF(E$48&gt;0, ($S$130)/E$48,0)*E28</f><v>0</v></c><c r="F102" s="68"><f t="shared" si="27"/><v>2587.207415119326</v></c><c r="G102" s="200"><f>'CO2 factors'!C$7*G28</f><v>339.2293989139223</v></c><c r="H102" s="200"><f>'CO2 factors'!D$7*H28</f><v>0</v></c><c r="I102" s="200"><f>'CO2 factors'!E$7*I28</f><v>0</v></c><c r="J102" s="200"><f>'CO2 factors'!F$7*J28</f><v>228.70810179252044</v></c><c r="K102" s="200"><f>'CO2 factors'!G$7*K28</f><v>0</v></c><c r="L102" s="200"><f>'CO2 factors'!H$7*L28</f><v>0</v></c><c r="M102" s="68"><f t="shared" si="29"/><v>567.93750070644273</v></c><c r="N102" s="200"><f>'CO2 factors'!J$7*N28</f><v>0</v></c><c r="O102" s="200"><f>'CO2 factors'!K$7*O28</f><v>0</v></c><c r="P102" s="200"><f>'CO2 factors'!L$7*P28</f><v>0</v></c><c r="Q102" s="200"><f>'CO2 factors'!M$7*Q28</f><v>0</v></c><c r="R102" s="200"><f>'CO2 factors'!N$7*R28</f><v>0</v></c><c r="S102" s="200"><f>'CO2 factors'!O$7*S28</f><v>0</v></c><c r="T102" s="68"><f t="shared" si="31"/><v>0</v></c><c r="U102" s="68"><f t="shared" si="32"/><v>3155.1449158257687</v></c></row><row r="103" spans="1:21" s="21" customFormat="1" ht="15.75"><c r="A103" s="22"/><c r="B103" s="198" t="str"><f>Translation!A71</f><v>Mining and quarrying</v></c><c r="C103" s="200"><f>IF(C$48&gt;0, ($S$128+$V$137)/C$48,0)*C29</f><v>7.9860298636670901</v></c><c r="D103" s="200"><f>IF(D$48&gt;0, ($S$129)/D$48,0)*D29</f><v>0</v></c><c r="E103" s="200"><f>IF(E$48&gt;0, ($S$130)/E$48,0)*E29</f><v>0</v></c><c r="F103" s="68"><f t="shared" si="27"/><v>7.9860298636670901</v></c><c r="G103" s="200"><f>'CO2 factors'!C$7*G29</f><v>1.0471120693798233</v></c><c r="H103" s="200"><f>'CO2 factors'!D$7*H29</f><v>5.8740000000000006</v></c><c r="I103" s="200"><f>'CO2 factors'!E$7*I29</f><v>0</v></c><c r="J103" s="200"><f>'CO2 factors'!F$7*J29</f><v>0.70596184917529758</v></c><c r="K103" s="200"><f>'CO2 factors'!G$7*K29</f><v>0</v></c><c r="L103" s="200"><f>'CO2 factors'!H$7*L29</f><v>0</v></c><c r="M103" s="68"><f t="shared" si="29"/><v>7.6270739185551211</v></c><c r="N103" s="200"><f>'CO2 factors'!J$7*N29</f><v>0</v></c><c r="O103" s="200"><f>'CO2 factors'!K$7*O29</f><v>0</v></c><c r="P103" s="200"><f>'CO2 factors'!L$7*P29</f><v>0</v></c><c r="Q103" s="200"><f>'CO2 factors'!M$7*Q29</f><v>0</v></c><c r="R103" s="200"><f>'CO2 factors'!N$7*R29</f><v>0</v></c><c r="S103" s="200"><f>'CO2 factors'!O$7*S29</f><v>0</v></c><c r="T103" s="68"><f t="shared" si="31"/><v>0</v></c><c r="U103" s="68"><f t="shared" si="32"/><v>15.613103782222211</v></c></row><row r="104" spans="1:21" s="21" customFormat="1" ht="15.75"><c r="A104" s="22"/><c r="B104" s="65" t="str"><f>Translation!A72</f><v>SECONDARY SECTOR</v></c><c r="C104" s="68"><f>SUM(C105:C107)</f><v>25572.209942411264</v></c><c r="D104" s="68"><f>SUM(D105:D107)</f><v>0</v></c><c r="E104" s="68"><f>SUM(E105:E107)</f><v>0</v></c><c r="F104" s="68"><f t="shared" si="27"/><v>25572.209942411264</v></c><c r="G104" s="68"><f t="shared" ref="G104:L104" si="38">SUM(G105:G107)</f><v>3352.9764011072552</v></c><c r="H104" s="68"><f t="shared" si="38"/><v>0</v></c><c r="I104" s="68"><f t="shared" si="38"/><v>0</v></c><c r="J104" s="68"><f t="shared" si="38"/><v>2260.5731416779181</v></c><c r="K104" s="68"><f t="shared" si="38"/><v>0</v></c><c r="L104" s="68"><f t="shared" si="38"/><v>0</v></c><c r="M104" s="68"><f t="shared" si="29"/><v>5613.5495427851729</v></c><c r="N104" s="68"><f t="shared" ref="N104:S104" si="39">SUM(N105:N107)</f><v>0</v></c><c r="O104" s="68"><f t="shared" si="39"/><v>0</v></c><c r="P104" s="68"><f t="shared" si="39"/><v>0</v></c><c r="Q104" s="68"><f t="shared" si="39"/><v>0</v></c><c r="R104" s="68"><f t="shared" si="39"/><v>0</v></c><c r="S104" s="68"><f t="shared" si="39"/><v>0</v></c><c r="T104" s="68"><f t="shared" si="31"/><v>0</v></c><c r="U104" s="68"><f t="shared" si="32"/><v>31185.759485196439</v></c></row><row r="105" spans="1:21" s="21" customFormat="1" ht="15.75"><c r="A105" s="22"/><c r="B105" s="198" t="str"><f>Translation!A73</f><v>Manufacturing</v></c><c r="C105" s="200"><f>IF(C$48&gt;0, ($S$128+$V$137)/C$48,0)*C31</f><v>25315.471973767486</v></c><c r="D105" s="200"><f>IF(D$48&gt;0, ($S$129)/D$48,0)*D31</f><v>0</v></c><c r="E105" s="200"><f>IF(E$48&gt;0, ($S$130)/E$48,0)*E31</f><v>0</v></c><c r="F105" s="68"><f t="shared" si="27"/><v>25315.471973767486</v></c><c r="G105" s="200"><f>'CO2 factors'!C$7*G31</f><v>3319.3134383805527</v></c><c r="H105" s="200"><f>'CO2 factors'!D$7*H31</f><v>0</v></c><c r="I105" s="200"><f>'CO2 factors'!E$7*I31</f><v>0</v></c><c r="J105" s="200"><f>'CO2 factors'!F$7*J31</f><v>2237.8776078280052</v></c><c r="K105" s="200"><f>'CO2 factors'!G$7*K31</f><v>0</v></c><c r="L105" s="200"><f>'CO2 factors'!H$7*L31</f><v>0</v></c><c r="M105" s="68"><f t="shared" si="29"/><v>5557.191046208558</v></c><c r="N105" s="200"><f>'CO2 factors'!J$7*N31</f><v>0</v></c><c r="O105" s="200"><f>'CO2 factors'!K$7*O31</f><v>0</v></c><c r="P105" s="200"><f>'CO2 factors'!L$7*P31</f><v>0</v></c><c r="Q105" s="200"><f>'CO2 factors'!M$7*Q31</f><v>0</v></c><c r="R105" s="200"><f>'CO2 factors'!N$7*R31</f><v>0</v></c><c r="S105" s="200"><f>'CO2 factors'!O$7*S31</f><v>0</v></c><c r="T105" s="68"><f t="shared" si="31"/><v>0</v></c><c r="U105" s="68"><f t="shared" si="32"/><v>30872.663019976044</v></c></row><row r="106" spans="1:21" s="21" customFormat="1" ht="30"><c r="A106" s="22"/><c r="B106" s="198" t="str"><f>Translation!A74</f><v>Water supply, sewerage, waste management and remediation activities</v></c><c r="C106" s="200"><f>IF(C$48&gt;0, ($S$128+$V$137)/C$48,0)*C32</f><v>25.186709570026977</v></c><c r="D106" s="200"><f>IF(D$48&gt;0, ($S$129)/D$48,0)*D32</f><v>0</v></c><c r="E106" s="200"><f>IF(E$48&gt;0, ($S$130)/E$48,0)*E32</f><v>0</v></c><c r="F106" s="68"><f t="shared" si="27"/><v>25.186709570026977</v></c><c r="G106" s="200"><f>'CO2 factors'!C$7*G32</f><v>3.3024303726594413</v></c><c r="H106" s="200"><f>'CO2 factors'!D$7*H32</f><v>0</v></c><c r="I106" s="200"><f>'CO2 factors'!E$7*I32</f><v>0</v></c><c r="J106" s="200"><f>'CO2 factors'!F$7*J32</f><v>2.2264950627836315</v></c><c r="K106" s="200"><f>'CO2 factors'!G$7*K32</f><v>0</v></c><c r="L106" s="200"><f>'CO2 factors'!H$7*L32</f><v>0</v></c><c r="M106" s="68"><f t="shared" si="29"/><v>5.5289254354430728</v></c><c r="N106" s="200"><f>'CO2 factors'!J$7*N32</f><v>0</v></c><c r="O106" s="200"><f>'CO2 factors'!K$7*O32</f><v>0</v></c><c r="P106" s="200"><f>'CO2 factors'!L$7*P32</f><v>0</v></c><c r="Q106" s="200"><f>'CO2 factors'!M$7*Q32</f><v>0</v></c><c r="R106" s="200"><f>'CO2 factors'!N$7*R32</f><v>0</v></c><c r="S106" s="200"><f>'CO2 factors'!O$7*S32</f><v>0</v></c><c r="T106" s="68"><f t="shared" si="31"/><v>0</v></c><c r="U106" s="68"><f t="shared" si="32"/><v>30.715635005470048</v></c></row><row r="107" spans="1:21" s="21" customFormat="1" ht="15.75"><c r="A107" s="22"/><c r="B107" s="198" t="str"><f>Translation!A75</f><v>Construction</v></c><c r="C107" s="200"><f>IF(C$48&gt;0, ($S$128+$V$137)/C$48,0)*C33</f><v>231.5512590737527</v></c><c r="D107" s="200"><f>IF(D$48&gt;0, ($S$129)/D$48,0)*D33</f><v>0</v></c><c r="E107" s="200"><f>IF(E$48&gt;0, ($S$130)/E$48,0)*E33</f><v>0</v></c><c r="F107" s="68"><f t="shared" si="27"/><v>231.5512590737527</v></c><c r="G107" s="80"><f>'CO2 factors'!C$7*G33</f><v>30.360532354043311</v></c><c r="H107" s="80"><f>'CO2 factors'!D$7*H33</f><v>0</v></c><c r="I107" s="80"><f>'CO2 factors'!E$7*I33</f><v>0</v></c><c r="J107" s="80"><f>'CO2 factors'!F$7*J33</f><v>20.469038787129339</v></c><c r="K107" s="80"><f>'CO2 factors'!G$7*K33</f><v>0</v></c><c r="L107" s="80"><f>'CO2 factors'!H$7*L33</f><v>0</v></c><c r="M107" s="68"><f t="shared" si="29"/><v>50.82957114117265</v></c><c r="N107" s="80"><f>'CO2 factors'!J$7*N33</f><v>0</v></c><c r="O107" s="80"><f>'CO2 factors'!K$7*O33</f><v>0</v></c><c r="P107" s="80"><f>'CO2 factors'!L$7*P33</f><v>0</v></c><c r="Q107" s="80"><f>'CO2 factors'!M$7*Q33</f><v>0</v></c><c r="R107" s="80"><f>'CO2 factors'!N$7*R33</f><v>0</v></c><c r="S107" s="80"><f>'CO2 factors'!O$7*S33</f><v>0</v></c><c r="T107" s="68"><f t="shared" si="31"/><v>0</v></c><c r="U107" s="68"><f t="shared" si="32"/><v>282.38083021492537</v></c></row><row r="108" spans="1:21" s="21" customFormat="1" ht="15.75"><c r="A108" s="22"/><c r="B108" s="65" t="str"><f>Translation!A76</f><v>TERTIARY SECTOR</v></c><c r="C108" s="68"><f>SUM(C109:C116)</f><v>17698.210720995536</v></c><c r="D108" s="68"><f>SUM(D109:D116)</f><v>0</v></c><c r="E108" s="68"><f>SUM(E109:E116)</f><v>0</v></c><c r="F108" s="68"><f t="shared" si="27"/><v>17698.210720995536</v></c><c r="G108" s="68"><f t="shared" ref="G108:L108" si="40">SUM(G109:G116)</f><v>2077.1082275169529</v></c><c r="H108" s="68"><f t="shared" si="40"/><v>0</v></c><c r="I108" s="68"><f t="shared" si="40"/><v>0</v></c><c r="J108" s="68"><f t="shared" si="40"/><v>1400.3841691019556</v></c><c r="K108" s="68"><f t="shared" si="40"/><v>0</v></c><c r="L108" s="68"><f t="shared" si="40"/><v>0</v></c><c r="M108" s="68"><f t="shared" si="29"/><v>3477.4923966189085</v></c><c r="N108" s="68"><f t="shared" ref="N108:S108" si="41">SUM(N109:N116)</f><v>0</v></c><c r="O108" s="68"><f t="shared" si="41"/><v>0</v></c><c r="P108" s="68"><f t="shared" si="41"/><v>0</v></c><c r="Q108" s="68"><f t="shared" si="41"/><v>0</v></c><c r="R108" s="68"><f t="shared" si="41"/><v>0</v></c><c r="S108" s="68"><f t="shared" si="41"/><v>0</v></c><c r="T108" s="68"><f t="shared" si="31"/><v>0</v></c><c r="U108" s="68"><f t="shared" si="32"/><v>21175.703117614445</v></c></row><row r="109" spans="1:21" s="21" customFormat="1" ht="30"><c r="A109" s="22"/><c r="B109" s="198" t="str"><f>Translation!A77</f><v xml:space="preserve">Wholesale and retail trade; repair of motor vehicles and motorcycles </v></c><c r="C109" s="200"><f t="shared" ref="C109:C116" si="42">IF(C$48&gt;0, ($S$128+$V$137)/C$48,0)*C35</f><v>5997.8189731554685</v></c><c r="D109" s="200"><f t="shared" ref="D109:D116" si="43">IF(D$48&gt;0, ($S$129)/D$48,0)*D35</f><v>0</v></c><c r="E109" s="200"><f t="shared" ref="E109:E116" si="44">IF(E$48&gt;0, ($S$130)/E$48,0)*E35</f><v>0</v></c><c r="F109" s="68"><f t="shared" si="27"/><v>5997.8189731554685</v></c><c r="G109" s="200"><f>'CO2 factors'!C$7*G35</f><v>786.42188220700086</v></c><c r="H109" s="200"><f>'CO2 factors'!D$7*H35</f><v>0</v></c><c r="I109" s="200"><f>'CO2 factors'!E$7*I35</f><v>0</v></c><c r="J109" s="200"><f>'CO2 factors'!F$7*J35</f><v>530.2048008324391</v></c><c r="K109" s="200"><f>'CO2 factors'!G$7*K35</f><v>0</v></c><c r="L109" s="200"><f>'CO2 factors'!H$7*L35</f><v>0</v></c><c r="M109" s="68"><f t="shared" si="29"/><v>1316.62668303944</v></c><c r="N109" s="200"><f>'CO2 factors'!J$7*N35</f><v>0</v></c><c r="O109" s="200"><f>'CO2 factors'!K$7*O35</f><v>0</v></c><c r="P109" s="200"><f>'CO2 factors'!L$7*P35</f><v>0</v></c><c r="Q109" s="200"><f>'CO2 factors'!M$7*Q35</f><v>0</v></c><c r="R109" s="200"><f>'CO2 factors'!N$7*R35</f><v>0</v></c><c r="S109" s="200"><f>'CO2 factors'!O$7*S35</f><v>0</v></c><c r="T109" s="68"><f t="shared" si="31"/><v>0</v></c><c r="U109" s="68"><f t="shared" si="32"/><v>7314.4456561949082</v></c></row><row r="110" spans="1:21" s="21" customFormat="1" ht="15.75"><c r="A110" s="22"/><c r="B110" s="198" t="str"><f>Translation!A78</f><v>Accomodation and food service activities</v></c><c r="C110" s="200"><f t="shared" si="42"/><v>397.86198103778469</v></c><c r="D110" s="200"><f t="shared" si="43"/><v>0</v></c><c r="E110" s="200"><f t="shared" si="44"/><v>0</v></c><c r="F110" s="68"><f t="shared" si="27"/><v>397.86198103778469</v></c><c r="G110" s="200"><f>'CO2 factors'!C$7*G36</f><v>52.166857550508837</v></c><c r="H110" s="200"><f>'CO2 factors'!D$7*H36</f><v>0</v></c><c r="I110" s="200"><f>'CO2 factors'!E$7*I36</f><v>0</v></c><c r="J110" s="200"><f>'CO2 factors'!F$7*J36</f><v>35.170840160245419</v></c><c r="K110" s="200"><f>'CO2 factors'!G$7*K36</f><v>0</v></c><c r="L110" s="200"><f>'CO2 factors'!H$7*L36</f><v>0</v></c><c r="M110" s="68"><f t="shared" si="29"/><v>87.337697710754256</v></c><c r="N110" s="200"><f>'CO2 factors'!J$7*N36</f><v>0</v></c><c r="O110" s="200"><f>'CO2 factors'!K$7*O36</f><v>0</v></c><c r="P110" s="200"><f>'CO2 factors'!L$7*P36</f><v>0</v></c><c r="Q110" s="200"><f>'CO2 factors'!M$7*Q36</f><v>0</v></c><c r="R110" s="200"><f>'CO2 factors'!N$7*R36</f><v>0</v></c><c r="S110" s="200"><f>'CO2 factors'!O$7*S36</f><v>0</v></c><c r="T110" s="68"><f t="shared" si="31"/><v>0</v></c><c r="U110" s="68"><f t="shared" si="32"/><v>485.19967874853893</v></c></row><row r="111" spans="1:21" s="21" customFormat="1" ht="15.75"><c r="A111" s="22"/><c r="B111" s="198" t="str"><f>Translation!A79</f><v>General public administration and social security</v></c><c r="C111" s="200"><f t="shared" si="42"/><v>628.80485508845277</v></c><c r="D111" s="200"><f t="shared" si="43"/><v>0</v></c><c r="E111" s="200"><f t="shared" si="44"/><v>0</v></c><c r="F111" s="68"><f t="shared" si="27"/><v>628.80485508845277</v></c><c r="G111" s="200"><f>'CO2 factors'!C$7*G37</f><v>82.447619691896165</v></c><c r="H111" s="200"><f>'CO2 factors'!D$7*H37</f><v>0</v></c><c r="I111" s="200"><f>'CO2 factors'!E$7*I37</f><v>0</v></c><c r="J111" s="200"><f>'CO2 factors'!F$7*J37</f><v>55.586097954410853</v></c><c r="K111" s="200"><f>'CO2 factors'!G$7*K37</f><v>0</v></c><c r="L111" s="200"><f>'CO2 factors'!H$7*L37</f><v>0</v></c><c r="M111" s="68"><f t="shared" si="29"/><v>138.03371764630703</v></c><c r="N111" s="200"><f>'CO2 factors'!J$7*N37</f><v>0</v></c><c r="O111" s="200"><f>'CO2 factors'!K$7*O37</f><v>0</v></c><c r="P111" s="200"><f>'CO2 factors'!L$7*P37</f><v>0</v></c><c r="Q111" s="200"><f>'CO2 factors'!M$7*Q37</f><v>0</v></c><c r="R111" s="200"><f>'CO2 factors'!N$7*R37</f><v>0</v></c><c r="S111" s="200"><f>'CO2 factors'!O$7*S37</f><v>0</v></c><c r="T111" s="68"><f t="shared" si="31"/><v>0</v></c><c r="U111" s="68"><f t="shared" si="32"/><v>766.83857273475974</v></c></row><row r="112" spans="1:21" s="21" customFormat="1" ht="15.75"><c r="A112" s="22"/><c r="B112" s="198" t="str"><f>Translation!A80</f><v>Defense, justice, police and fire departments</v></c><c r="C112" s="200"><f t="shared" si="42"/><v>148.56417281844233</v></c><c r="D112" s="200"><f t="shared" si="43"/><v>0</v></c><c r="E112" s="200"><f t="shared" si="44"/><v>0</v></c><c r="F112" s="68"><f t="shared" si="27"/><v>148.56417281844233</v></c><c r="G112" s="200"><f>'CO2 factors'!C$7*G38</f><v>19.479433597332932</v></c><c r="H112" s="200"><f>'CO2 factors'!D$7*H38</f><v>0</v></c><c r="I112" s="200"><f>'CO2 factors'!E$7*I38</f><v>0</v></c><c r="J112" s="200"><f>'CO2 factors'!F$7*J38</f><v>13.133013519178872</v></c><c r="K112" s="200"><f>'CO2 factors'!G$7*K38</f><v>0</v></c><c r="L112" s="200"><f>'CO2 factors'!H$7*L38</f><v>0</v></c><c r="M112" s="68"><f t="shared" si="29"/><v>32.612447116511802</v></c><c r="N112" s="200"><f>'CO2 factors'!J$7*N38</f><v>0</v></c><c r="O112" s="200"><f>'CO2 factors'!K$7*O38</f><v>0</v></c><c r="P112" s="200"><f>'CO2 factors'!L$7*P38</f><v>0</v></c><c r="Q112" s="200"><f>'CO2 factors'!M$7*Q38</f><v>0</v></c><c r="R112" s="200"><f>'CO2 factors'!N$7*R38</f><v>0</v></c><c r="S112" s="200"><f>'CO2 factors'!O$7*S38</f><v>0</v></c><c r="T112" s="68"><f t="shared" si="31"/><v>0</v></c><c r="U112" s="68"><f t="shared" si="32"/><v>181.17661993495415</v></c></row><row r="113" spans="1:31" s="21" customFormat="1" ht="15.75"><c r="A113" s="22"/><c r="B113" s="198" t="str"><f>Translation!A81</f><v>Education</v></c><c r="C113" s="200"><f t="shared" si="42"/><v>489.32450541428693</v></c><c r="D113" s="200"><f t="shared" si="43"/><v>0</v></c><c r="E113" s="200"><f t="shared" si="44"/><v>0</v></c><c r="F113" s="68"><f t="shared" si="27"/><v>489.32450541428693</v></c><c r="G113" s="200"><f>'CO2 factors'!C$7*G39</f><v>64.159238596602833</v></c><c r="H113" s="200"><f>'CO2 factors'!D$7*H39</f><v>0</v></c><c r="I113" s="200"><f>'CO2 factors'!E$7*I39</f><v>0</v></c><c r="J113" s="200"><f>'CO2 factors'!F$7*J39</f><v>43.256090771796067</v></c><c r="K113" s="200"><f>'CO2 factors'!G$7*K39</f><v>0</v></c><c r="L113" s="200"><f>'CO2 factors'!H$7*L39</f><v>0</v></c><c r="M113" s="68"><f t="shared" si="29"/><v>107.4153293683989</v></c><c r="N113" s="200"><f>'CO2 factors'!J$7*N39</f><v>0</v></c><c r="O113" s="200"><f>'CO2 factors'!K$7*O39</f><v>0</v></c><c r="P113" s="200"><f>'CO2 factors'!L$7*P39</f><v>0</v></c><c r="Q113" s="200"><f>'CO2 factors'!M$7*Q39</f><v>0</v></c><c r="R113" s="200"><f>'CO2 factors'!N$7*R39</f><v>0</v></c><c r="S113" s="200"><f>'CO2 factors'!O$7*S39</f><v>0</v></c><c r="T113" s="68"><f t="shared" si="31"/><v>0</v></c><c r="U113" s="68"><f t="shared" si="32"/><v>596.73983478268588</v></c></row><row r="114" spans="1:31" s="21" customFormat="1" ht="15.75"><c r="A114" s="22"/><c r="B114" s="198" t="str"><f>Translation!A82</f><v>Human health and social work activities</v></c><c r="C114" s="200"><f t="shared" si="42"/><v>254.68143911732972</v></c><c r="D114" s="200"><f t="shared" si="43"/><v>0</v></c><c r="E114" s="200"><f t="shared" si="44"/><v>0</v></c><c r="F114" s="68"><f t="shared" si="27"/><v>254.68143911732972</v></c><c r="G114" s="200"><f>'CO2 factors'!C$7*G40</f><v>33.393314738285028</v></c><c r="H114" s="200"><f>'CO2 factors'!D$7*H40</f><v>0</v></c><c r="I114" s="200"><f>'CO2 factors'!E$7*I40</f><v>0</v></c><c r="J114" s="200"><f>'CO2 factors'!F$7*J40</f><v>22.513737461449477</v></c><c r="K114" s="200"><f>'CO2 factors'!G$7*K40</f><v>0</v></c><c r="L114" s="200"><f>'CO2 factors'!H$7*L40</f><v>0</v></c><c r="M114" s="68"><f t="shared" si="29"/><v>55.907052199734508</v></c><c r="N114" s="200"><f>'CO2 factors'!J$7*N40</f><v>0</v></c><c r="O114" s="200"><f>'CO2 factors'!K$7*O40</f><v>0</v></c><c r="P114" s="200"><f>'CO2 factors'!L$7*P40</f><v>0</v></c><c r="Q114" s="200"><f>'CO2 factors'!M$7*Q40</f><v>0</v></c><c r="R114" s="200"><f>'CO2 factors'!N$7*R40</f><v>0</v></c><c r="S114" s="200"><f>'CO2 factors'!O$7*S40</f><v>0</v></c><c r="T114" s="68"><f t="shared" si="31"/><v>0</v></c><c r="U114" s="68"><f t="shared" si="32"/><v>310.58849131706421</v></c></row><row r="115" spans="1:31" s="21" customFormat="1" ht="15.75"><c r="A115" s="22"/><c r="B115" s="198" t="str"><f>Translation!A83</f><v>Other services</v></c><c r="C115" s="200"><f t="shared" si="42"/><v>7924.465549520778</v></c><c r="D115" s="200"><f t="shared" si="43"/><v>0</v></c><c r="E115" s="200"><f t="shared" si="44"/><v>0</v></c><c r="F115" s="68"><f t="shared" si="27"/><v>7924.465549520778</v></c><c r="G115" s="200"><f>'CO2 factors'!C$7*G41</f><v>1039.0398811353264</v></c><c r="H115" s="200"><f>'CO2 factors'!D$7*H41</f><v>0</v></c><c r="I115" s="200"><f>'CO2 factors'!E$7*I41</f><v>0</v></c><c r="J115" s="200"><f>'CO2 factors'!F$7*J41</f><v>700.51958840243583</v></c><c r="K115" s="200"><f>'CO2 factors'!G$7*K41</f><v>0</v></c><c r="L115" s="200"><f>'CO2 factors'!H$7*L41</f><v>0</v></c><c r="M115" s="68"><f t="shared" si="29"/><v>1739.5594695377622</v></c><c r="N115" s="200"><f>'CO2 factors'!J$7*N41</f><v>0</v></c><c r="O115" s="200"><f>'CO2 factors'!K$7*O41</f><v>0</v></c><c r="P115" s="200"><f>'CO2 factors'!L$7*P41</f><v>0</v></c><c r="Q115" s="200"><f>'CO2 factors'!M$7*Q41</f><v>0</v></c><c r="R115" s="200"><f>'CO2 factors'!N$7*R41</f><v>0</v></c><c r="S115" s="200"><f>'CO2 factors'!O$7*S41</f><v>0</v></c><c r="T115" s="68"><f t="shared" si="31"/><v>0</v></c><c r="U115" s="68"><f t="shared" si="32"/><v>9664.0250190585393</v></c></row><row r="116" spans="1:31" s="21" customFormat="1" ht="15.75"><c r="A116" s="22"/><c r="B116" s="198" t="str"><f>Translation!A84</f><v>Public lighting</v></c><c r="C116" s="200"><f t="shared" si="42"/><v>1856.6892448429953</v></c><c r="D116" s="200"><f t="shared" si="43"/><v>0</v></c><c r="E116" s="200"><f t="shared" si="44"/><v>0</v></c><c r="F116" s="68"><f t="shared" si="27"/><v>1856.6892448429953</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1856.6892448429953</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33806.851300486167</v></c><c r="I117" s="68"><f t="shared" si="45"/><v>29233.163123614555</v></c><c r="J117" s="68"><f t="shared" si="45"/><v>0</v></c><c r="K117" s="68"><f t="shared" si="45"/><v>0</v></c><c r="L117" s="68"><f t="shared" si="45"/><v>0</v></c><c r="M117" s="68"><f t="shared" si="29"/><v>63040.014424100722</v></c><c r="N117" s="68"><f t="shared" ref="N117:S117" si="46">SUM(N118:N121)</f><v>0</v></c><c r="O117" s="68"><f t="shared" si="46"/><v>0</v></c><c r="P117" s="68"><f t="shared" si="46"/><v>0</v></c><c r="Q117" s="68"><f t="shared" si="46"/><v>0</v></c><c r="R117" s="68"><f t="shared" si="46"/><v>0</v></c><c r="S117" s="68"><f t="shared" si="46"/><v>0</v></c><c r="T117" s="68"><f t="shared" si="31"/><v>0</v></c><c r="U117" s="68"><f t="shared" si="32"/><v>63040.014424100722</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607.31265302289273</v></c><c r="I118" s="200"><f>'CO2 factors'!E$7*I44</f><v>525.15005597690924</v></c><c r="J118" s="200"><f>'CO2 factors'!F$7*J44</f><v>0</v></c><c r="K118" s="200"><f>'CO2 factors'!G$7*K44</f><v>0</v></c><c r="L118" s="200"><f>'CO2 factors'!H$7*L44</f><v>0</v></c><c r="M118" s="68"><f t="shared" si="29"/><v>1132.4627089998021</v></c><c r="N118" s="200"><f>'CO2 factors'!J$7*N44</f><v>0</v></c><c r="O118" s="200"><f>'CO2 factors'!K$7*O44</f><v>0</v></c><c r="P118" s="200"><f>'CO2 factors'!L$7*P44</f><v>0</v></c><c r="Q118" s="200"><f>'CO2 factors'!M$7*Q44</f><v>0</v></c><c r="R118" s="200"><f>'CO2 factors'!N$7*R44</f><v>0</v></c><c r="S118" s="200"><f>'CO2 factors'!O$7*S44</f><v>0</v></c><c r="T118" s="68"><f t="shared" si="31"/><v>0</v></c><c r="U118" s="68"><f t="shared" si="32"/><v>1132.4627089998021</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9717.0024483662837</v></c><c r="I119" s="200"><f>'CO2 factors'!E$7*I45</f><v>8402.4008956305479</v></c><c r="J119" s="200"><f>'CO2 factors'!F$7*J45</f><v>0</v></c><c r="K119" s="200"><f>'CO2 factors'!G$7*K45</f><v>0</v></c><c r="L119" s="200"><f>'CO2 factors'!H$7*L45</f><v>0</v></c><c r="M119" s="68"><f t="shared" si="29"/><v>18119.403343996833</v></c><c r="N119" s="200"><f>'CO2 factors'!J$7*N45</f><v>0</v></c><c r="O119" s="200"><f>'CO2 factors'!K$7*O45</f><v>0</v></c><c r="P119" s="200"><f>'CO2 factors'!L$7*P45</f><v>0</v></c><c r="Q119" s="200"><f>'CO2 factors'!M$7*Q45</f><v>0</v></c><c r="R119" s="200"><f>'CO2 factors'!N$7*R45</f><v>0</v></c><c r="S119" s="200"><f>'CO2 factors'!O$7*S45</f><v>0</v></c><c r="T119" s="68"><f t="shared" si="31"/><v>0</v></c><c r="U119" s="68"><f t="shared" si="32"/><v>18119.403343996833</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23482.53619909699</v></c><c r="I121" s="200"><f>'CO2 factors'!E$7*I47</f><v>20305.612172007099</v></c><c r="J121" s="200"><f>'CO2 factors'!F$7*J47</f><v>0</v></c><c r="K121" s="200"><f>'CO2 factors'!G$7*K47</f><v>0</v></c><c r="L121" s="200"><f>'CO2 factors'!H$7*L47</f><v>0</v></c><c r="M121" s="68"><f t="shared" si="29"/><v>43788.148371104093</v></c><c r="N121" s="200"><f>'CO2 factors'!J$7*N47</f><v>0</v></c><c r="O121" s="200"><f>'CO2 factors'!K$7*O47</f><v>0</v></c><c r="P121" s="200"><f>'CO2 factors'!L$7*P47</f><v>0</v></c><c r="Q121" s="200"><f>'CO2 factors'!M$7*Q47</f><v>0</v></c><c r="R121" s="200"><f>'CO2 factors'!N$7*R47</f><v>0</v></c><c r="S121" s="200"><f>'CO2 factors'!O$7*S47</f><v>0</v></c><c r="T121" s="68"><f t="shared" si="31"/><v>0</v></c><c r="U121" s="68"><f t="shared" si="32"/><v>43788.148371104093</v></c></row><row r="122" spans="1:31" s="21" customFormat="1" ht="15.75"><c r="A122" s="22"/><c r="B122" s="77" t="str"><f>Translation!A117</f><v>TOTAL FOR INTERNAL MARKET</v></c><c r="C122" s="69"><f>C91+C101+C104+C108+C117</f><v>72206.04106448486</v></c><c r="D122" s="69"><f>D91+D101+D104+D108+D117</f><v>0</v></c><c r="E122" s="69"><f>E91+E101+E104+E108+E117</f><v>0</v></c><c r="F122" s="68"><f t="shared" si="27"/><v>72206.04106448486</v></c><c r="G122" s="69"><f t="shared" ref="G122:L122" si="47">G91+G101+G104+G108+G117</f><v>11852.777522013897</v></c><c r="H122" s="69"><f t="shared" si="47"/><v>33812.72530048617</v></c><c r="I122" s="69"><f t="shared" si="47"/><v>29233.163123614555</v></c><c r="J122" s="69"><f t="shared" si="47"/><v>4639.606962517284</v></c><c r="K122" s="69"><f t="shared" si="47"/><v>0</v></c><c r="L122" s="69"><f t="shared" si="47"/><v>0</v></c><c r="M122" s="68"><f t="shared" si="29"/><v>79538.272908631916</v></c><c r="N122" s="69"><f t="shared" ref="N122:S122" si="48">N91+N101+N104+N108+N117</f><v>0</v></c><c r="O122" s="69"><f t="shared" si="48"/><v>0</v></c><c r="P122" s="69"><f t="shared" si="48"/><v>0</v></c><c r="Q122" s="69"><f t="shared" si="48"/><v>0</v></c><c r="R122" s="69"><f t="shared" si="48"/><v>0</v></c><c r="S122" s="69"><f t="shared" si="48"/><v>0</v></c><c r="T122" s="68"><f t="shared" si="31"/><v>0</v></c><c r="U122" s="68"><f t="shared" si="32"/><v>151744.31397311678</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5" t="str"><f>Translation!A120</f><v>PRODUCTION SECTOR</v></c><c r="C125" s="279" t="str"><f>Translation!A142</f><v>PRIMARY ENERGY SOURCE</v></c><c r="D125" s="280"/><c r="E125" s="280"/><c r="F125" s="280"/><c r="G125" s="280"/><c r="H125" s="280"/><c r="I125" s="280"/><c r="J125" s="280"/><c r="K125" s="280"/><c r="L125" s="280"/><c r="M125" s="280"/><c r="N125" s="280"/><c r="O125" s="280"/><c r="P125" s="280"/><c r="Q125" s="280"/><c r="R125" s="280"/><c r="S125" s="281"/><c r="T125" s="64"/><c r="U125" s="282" t="str"><f>Translation!A122</f><v>Energy product</v></c><c r="V125" s="283"/><c r="W125" s="288" t="str"><f>Translation!A149</f><v>CO2 EMISSION FACTORS</v></c><c r="X125" s="61"/><c r="Y125" s="61"/><c r="Z125" s="61"/><c r="AA125" s="61"/><c r="AB125" s="61"/><c r="AC125" s="61"/><c r="AD125" s="61"/><c r="AE125" s="61"/></row><row r="126" spans="1:31" s="55" customFormat="1" ht="15" customHeight="1"><c r="B126" s="306"/><c r="C126" s="279" t="str"><f>Translation!A98</f><v>Fossil fuels</v></c><c r="D126" s="280"/><c r="E126" s="280"/><c r="F126" s="280"/><c r="G126" s="280"/><c r="H126" s="280"/><c r="I126" s="281"/><c r="J126" s="279" t="str"><f>Translation!A107</f><v>Renewable energy sources</v></c><c r="K126" s="280"/><c r="L126" s="280"/><c r="M126" s="280"/><c r="N126" s="280"/><c r="O126" s="280"/><c r="P126" s="280"/><c r="Q126" s="280"/><c r="R126" s="281"/><c r="S126" s="291" t="str"><f>Translation!A118</f><v>TOTAL</v></c><c r="T126" s="64"/><c r="U126" s="284"/><c r="V126" s="285"/><c r="W126" s="289"/><c r="X126" s="61"/><c r="Y126" s="61"/><c r="Z126" s="61"/><c r="AA126" s="61"/><c r="AB126" s="61"/><c r="AC126" s="61"/><c r="AD126" s="61"/><c r="AE126" s="61"/></row><row r="127" spans="1:31" s="55" customFormat="1" ht="69.75" customHeight="1"><c r="B127" s="65" t="str"><f>Translation!A122</f><v>Energy product</v></c><c r="C127" s="234" t="str"><f>Translation!A99</f><v>Fueloil</v></c><c r="D127" s="234" t="str"><f>Translation!A100</f><v>Diesel</v></c><c r="E127" s="234" t="str"><f>Translation!A101</f><v>Gasoline</v></c><c r="F127" s="234" t="str"><f>Translation!A102</f><v>LPG</v></c><c r="G127" s="234" t="str"><f>Translation!A103</f><v>Natural gas</v></c><c r="H127" s="234" t="str"><f>Translation!A104</f><v>Coal</v></c><c r="I127" s="234" t="str"><f>Translation!A116</f><v>Subtotal</v></c><c r="J127" s="234" t="str"><f>Translation!A108</f><v>Hydro</v></c><c r="K127" s="234" t="str"><f>Translation!A109</f><v>Wind</v></c><c r="L127" s="234" t="str"><f>Translation!A110</f><v>Solar</v></c><c r="M127" s="234" t="str"><f>Translation!A111</f><v>Geothermal</v></c><c r="N127" s="234" t="str"><f>Translation!A112</f><v>Ocean</v></c><c r="O127" s="234" t="str"><f>Translation!A113</f><v>Biomass</v></c><c r="P127" s="234" t="str"><f>Translation!A114</f><v>Urban waste</v></c><c r="Q127" s="234" t="str"><f>Translation!A115</f><v>Energy recovery</v></c><c r="R127" s="234" t="str"><f>Translation!A116</f><v>Subtotal</v></c><c r="S127" s="291"/><c r="T127" s="64"/><c r="U127" s="286"/><c r="V127" s="287"/><c r="W127" s="290"/><c r="X127" s="61"/><c r="Y127" s="61"/><c r="Z127" s="61"/><c r="AA127" s="61"/><c r="AB127" s="61"/><c r="AC127" s="61"/><c r="AD127" s="61"/><c r="AE127" s="61"/></row><row r="128" spans="1:31" s="55" customFormat="1" ht="15.75"><c r="B128" s="199" t="str"><f>Translation!A123</f><v>Electricity</v></c><c r="C128" s="204"><f>'CO2 factors'!C$7*C67</f><v>26561.791625754606</v></c><c r="D128" s="204"><f>'CO2 factors'!D$7*D67</f><v>1581.470088351</v></c><c r="E128" s="204"><f>'CO2 factors'!E$7*E67</f><v>0</v></c><c r="F128" s="204"><f>'CO2 factors'!F$7*F67</f><v>0</v></c><c r="G128" s="204"><f>'CO2 factors'!G$7*G67</f><v>44062.779350379264</v></c><c r="H128" s="204"><f>'CO2 factors'!H$7*H67</f><v>0</v></c><c r="I128" s="63"><f>SUM(C128:H128)</f><v>72206.041064484874</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72206.041064484874</v></c><c r="T128" s="62"/><c r="U128" s="293" t="str"><f>Translation!A123</f><v>Electricity</v></c><c r="V128" s="294"/><c r="W128" s="205"><f>IF(S58&gt;0,S128/S58,0)</f><v>0.55062061350848435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2" t="str"><f>Translation!A124</f><v>Heat</v></c><c r="V129" s="29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2" t="str"><f>Translation!A125</f><v>Cold</v></c><c r="V130" s="292"/><c r="W130" s="205"><f>IF(S60&gt;0,S130/S60,0)</f><v>0</v></c><c r="X130" s="61"/><c r="Y130" s="61"/><c r="Z130" s="61"/><c r="AA130" s="61"/><c r="AB130" s="61"/><c r="AC130" s="61"/><c r="AD130" s="61"/><c r="AE130" s="61"/></row><row r="131" spans="1:31" s="55" customFormat="1" ht="15.75"><c r="B131" s="226" t="str"><f>Translation!A118</f><v>TOTAL</v></c><c r="C131" s="57"><f t="shared" ref="C131:S131" si="49">SUM(C128:C130)</f><v>26561.791625754606</v></c><c r="D131" s="57"><f t="shared" si="49"/><v>1581.470088351</v></c><c r="E131" s="57"><f t="shared" si="49"/><v>0</v></c><c r="F131" s="57"><f t="shared" si="49"/><v>0</v></c><c r="G131" s="57"><f t="shared" si="49"/><v>44062.779350379264</v></c><c r="H131" s="57"><f t="shared" si="49"/><v>0</v></c><c r="I131" s="57"><f t="shared" si="49"/><v>72206.041064484874</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72206.041064484874</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7" t="str"><f>Translation!A122</f><v>Energy product</v></c><c r="C134" s="276" t="str"><f>Translation!A142</f><v>PRIMARY ENERGY SOURCE</v></c><c r="D134" s="277"/><c r="E134" s="277"/><c r="F134" s="277"/><c r="G134" s="277"/><c r="H134" s="277"/><c r="I134" s="277"/><c r="J134" s="277"/><c r="K134" s="277"/><c r="L134" s="277"/><c r="M134" s="277"/><c r="N134" s="277"/><c r="O134" s="277"/><c r="P134" s="277"/><c r="Q134" s="277"/><c r="R134" s="277"/><c r="S134" s="277"/><c r="T134" s="277"/><c r="U134" s="277"/><c r="V134" s="277"/><c r="W134" s="277"/><c r="X134" s="277"/><c r="Y134" s="278"/><c r="AA134" s="288" t="str"><f>Translation!A150</f><v>CO2 emissions from ETS installations included in the calculations for final use of energy</v></c><c r="AB134" s="288" t="str"><f>Translation!A151</f><v>CO2 emissions from ETS installations included in the calculations for secondary energy production</v></c></row><row r="135" spans="1:31" s="55" customFormat="1" ht="15" customHeight="1"><c r="B135" s="318"/><c r="C135" s="276" t="str"><f>Translation!A98</f><v>Fossil fuels</v></c><c r="D135" s="277"/><c r="E135" s="277"/><c r="F135" s="277"/><c r="G135" s="277"/><c r="H135" s="277"/><c r="I135" s="278"/><c r="J135" s="276" t="str"><f>Translation!A107</f><v>Renewable energy sources</v></c><c r="K135" s="277"/><c r="L135" s="277"/><c r="M135" s="277"/><c r="N135" s="277"/><c r="O135" s="277"/><c r="P135" s="277"/><c r="Q135" s="277"/><c r="R135" s="278"/><c r="S135" s="295" t="str"><f>Translation!A123</f><v>Electricity</v></c><c r="T135" s="296"/><c r="U135" s="296"/><c r="V135" s="297"/><c r="W135" s="230" t="str"><f>Translation!A124</f><v>Heat</v></c><c r="X135" s="230" t="str"><f>Translation!A125</f><v>Cold</v></c><c r="Y135" s="249" t="str"><f>Translation!A118</f><v>TOTAL</v></c><c r="AA135" s="289"/><c r="AB135" s="289"/></row><row r="136" spans="1:31" s="55" customFormat="1" ht="90.75" customHeight="1"><c r="B136" s="319"/><c r="C136" s="227" t="str"><f>Translation!A99</f><v>Fueloil</v></c><c r="D136" s="227" t="str"><f>Translation!A100</f><v>Diesel</v></c><c r="E136" s="227" t="str"><f>Translation!A101</f><v>Gasoline</v></c><c r="F136" s="227" t="str"><f>Translation!A102</f><v>LPG</v></c><c r="G136" s="227" t="str"><f>Translation!A103</f><v>Natural gas</v></c><c r="H136" s="227" t="str"><f>Translation!A104</f><v>Coal</v></c><c r="I136" s="227" t="str"><f>Translation!A116</f><v>Subtotal</v></c><c r="J136" s="227" t="str"><f>Translation!A108</f><v>Hydro</v></c><c r="K136" s="227" t="str"><f>Translation!A109</f><v>Wind</v></c><c r="L136" s="227" t="str"><f>Translation!A110</f><v>Solar</v></c><c r="M136" s="227" t="str"><f>Translation!A111</f><v>Geothermal</v></c><c r="N136" s="227" t="str"><f>Translation!A112</f><v>Ocean</v></c><c r="O136" s="227" t="str"><f>Translation!A113</f><v>Biomass</v></c><c r="P136" s="227" t="str"><f>Translation!A114</f><v>Urban waste</v></c><c r="Q136" s="227" t="str"><f>Translation!A115</f><v>Energy recovery</v></c><c r="R136" s="227" t="str"><f>Translation!A116</f><v>Subtotal</v></c><c r="S136" s="58" t="str"><f>Translation!A144</f><v>Imported electricity (cable)</v></c><c r="T136" s="58" t="str"><f>Translation!A145</f><v>Exported electricity (cable)</v></c><c r="U136" s="58" t="str"><f>Translation!A136</f><v>Reexportation and external consumption</v></c><c r="V136" s="231" t="str"><f>Translation!A116</f><v>Subtotal</v></c><c r="W136" s="231" t="str"><f>Translation!A136</f><v>Reexportation and external consumption</v></c><c r="X136" s="231" t="str"><f>Translation!A136</f><v>Reexportation and external consumption</v></c><c r="Y136" s="249"/><c r="AA136" s="290"/><c r="AB136" s="290"/></row><row r="137" spans="1:31" s="55" customFormat="1" ht="15.75"><c r="B137" s="229" t="str"><f>Translation!A118</f><v>TOTAL</v></c><c r="C137" s="201"><f>'CO2 factors'!C$7*C76</f><v>38414.569147768503</v></c><c r="D137" s="201"><f>'CO2 factors'!D$7*D76</f><v>35394.195388837157</v></c><c r="E137" s="201"><f>'CO2 factors'!E$7*E76</f><v>29233.163123614555</v></c><c r="F137" s="201"><f>'CO2 factors'!F$7*F76</f><v>4639.606962517284</v></c><c r="G137" s="201"><f>'CO2 factors'!G$7*G76</f><v>44062.779350379264</v></c><c r="H137" s="201"><f>'CO2 factors'!H$7*H76</f><v>0</v></c><c r="I137" s="57"><f>SUM(C137:H137)</f><v>151744.31397311675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151744.31397311675</v></c><c r="AA137" s="164"/><c r="AB137" s="164"/></row><row r="138" spans="1:31" s="55" customFormat="1" ht="15"><c r="B138" s="56"/></row><row r="139" spans="1:31" ht="15.75" customHeight="1"><c r="A139" s="154"/><c r="B139" s="155"/></row><row r="140" spans="1:31" ht="18.75" customHeight="1"><c r="A140" s="153"/><c r="B140" s="265" t="str"><f>Translation!A155</f><v xml:space="preserve">Go to the next sheet dedicated to your Island Sustainable Energy Action Plan </v></c><c r="C140" s="266"/><c r="D140" s="266"/><c r="E140" s="266"/><c r="F140" s="266"/><c r="G140" s="266"/><c r="H140" s="266"/><c r="I140" s="266"/><c r="J140" s="266"/><c r="K140" s="266"/><c r="L140" s="266"/><c r="M140" s="266"/><c r="N140" s="266"/><c r="O140" s="266"/><c r="P140" s="266"/><c r="Q140" s="266"/><c r="R140" s="26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7"/><c r="D142" s="267"/><c r="E142" s="267"/><c r="F142" s="267"/><c r="G142" s="267"/><c r="H142" s="267"/><c r="I142" s="267"/><c r="J142" s="267"/><c r="K142" s="267"/><c r="L142" s="267"/><c r="M142" s="267"/><c r="N142" s="267"/><c r="O142" s="267"/><c r="P142" s="267"/><c r="Q142" s="267"/><c r="R142" s="267"/><c r="S142" s="267"/><c r="T142" s="267"/><c r="U142" s="267"/></row><row r="143" spans="1:31" ht="12.75" customHeight="1"><c r="B143" s="267"/><c r="C143" s="267"/><c r="D143" s="267"/><c r="E143" s="267"/><c r="F143" s="267"/><c r="G143" s="267"/><c r="H143" s="267"/><c r="I143" s="267"/><c r="J143" s="267"/><c r="K143" s="267"/><c r="L143" s="267"/><c r="M143" s="267"/><c r="N143" s="267"/><c r="O143" s="267"/><c r="P143" s="267"/><c r="Q143" s="267"/><c r="R143" s="267"/><c r="S143" s="267"/><c r="T143" s="267"/><c r="U143" s="267"/></row><row r="144" spans="1:31" ht="12.75" customHeight="1"><c r="B144" s="267"/><c r="C144" s="267"/><c r="D144" s="267"/><c r="E144" s="267"/><c r="F144" s="267"/><c r="G144" s="267"/><c r="H144" s="267"/><c r="I144" s="267"/><c r="J144" s="267"/><c r="K144" s="267"/><c r="L144" s="267"/><c r="M144" s="267"/><c r="N144" s="267"/><c r="O144" s="267"/><c r="P144" s="267"/><c r="Q144" s="267"/><c r="R144" s="267"/><c r="S144" s="267"/><c r="T144" s="267"/><c r="U144" s="267"/></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97" zoomScale="70" zoomScaleNormal="70" workbookViewID_"0"><selection activeCell="J74" sqref="J74:R74"/></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6" t="str"><f>Translation!$A$31</f><v>Island  Sustainable Energy Action Plan (ISEAP)</v></c><c r="B1" s="246"/><c r="C1" s="246"/><c r="D1" s="246"/><c r="E1" s="246"/><c r="F1" s="246"/><c r="G1" s="246"/><c r="H1" s="246"/><c r="I1" s="246"/><c r="J1" s="246"/><c r="K1" s="246"/><c r="L1" s="246"/><c r="M1" s="246"/><c r="N1" s="246"/><c r="O1" s="246"/><c r="P1" s="246"/><c r="Q1" s="246"/><c r="R1" s="246"/><c r="S1" s="246"/><c r="T1" s="246"/><c r="U1" s="246"/></row><row r="2" spans="1:30" s="21" customFormat="1" ht="28.5" customHeight="1"><c r="A2" s="82"/><c r="B2" s="83" t="s"><v>450</v></c><c r="C2" s="82"/><c r="D2" s="82"/><c r="E2" s="82"/><c r="F2" s="86"/><c r="G2" s="86"/><c r="H2" s="87"/><c r="I2" s="84" t="str"><f>Translation!$A$10</f><v>Island</v></c><c r="J2" s="85" t="str"><f>'Start here'!$B$5</f><v>Cyprus - Aradippou</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0" t="str"><f>Translation!A154</f><v>PLAN EMISSION INVENTORY IN 2020 (implementing sustainable energy actions)</v></c><c r="B4" s="260"/><c r="C4" s="260"/><c r="D4" s="260"/><c r="E4" s="260"/><c r="F4" s="260"/><c r="G4" s="260"/><c r="H4" s="260"/><c r="I4" s="260"/><c r="J4" s="260"/><c r="K4" s="260"/><c r="L4" s="260"/><c r="M4" s="260"/><c r="N4" s="260"/><c r="O4" s="260"/><c r="P4" s="260"/><c r="Q4" s="260"/><c r="R4" s="260"/><c r="S4" s="260"/><c r="T4" s="260"/><c r="U4" s="260"/><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4" t="str"><f>Translation!$A$53</f><v>Mandatory fields</v></c><c r="T6" s="264"/><c r="U6" s="264"/></row><row r="7" spans="1:30" s="135" customFormat="1" ht="36"><c r="A7" s="133" t="s"><v>0</v></c><c r="B7" s="134" t="str"><f>Translation!A50</f><v>GENERAL DATA</v></c><c r="L7" s="136"/></row><row r="8" spans="1:30" ht="21"><c r="A8" s="137"/><c r="B8" s="139" t="str"><f>Translation!A52</f><v>Number of inhabitants</v></c><c r="C8" s="314"><v>34758</v></c><c r="D8" s="315"/><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6" t="str"><f>'Start here'!F7</f><v>IPCC emission factors</v></c><c r="D10" s="316"/><c r="E10" s="316"/><c r="F10" s="316"/><c r="G10" s="316"/><c r="H10" s="316"/><c r="I10" s="316"/><c r="J10" s="316"/><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4" t="str"><f>Translation!A56</f><v>DEMAND SECTOR</v></c><c r="C14" s="276" t="str"><f>Translation!A93</f><v>ENERGY FOR FINAL USE</v></c><c r="D14" s="277"/><c r="E14" s="277"/><c r="F14" s="277"/><c r="G14" s="277"/><c r="H14" s="277"/><c r="I14" s="277"/><c r="J14" s="277"/><c r="K14" s="277"/><c r="L14" s="277"/><c r="M14" s="277"/><c r="N14" s="277"/><c r="O14" s="277"/><c r="P14" s="277"/><c r="Q14" s="277"/><c r="R14" s="277"/><c r="S14" s="277"/><c r="T14" s="277"/><c r="U14" s="278"/></row><row r="15" spans="1:30" s="55" customFormat="1" ht="18" customHeight="1"><c r="B15" s="275"/><c r="C15" s="276" t="str"><f>Translation!A94</f><v>Centralized energy services</v></c><c r="D15" s="277"/><c r="E15" s="277"/><c r="F15" s="278"/><c r="G15" s="276" t="str"><f>Translation!A98</f><v>Fossil fuels</v></c><c r="H15" s="277"/><c r="I15" s="277"/><c r="J15" s="277"/><c r="K15" s="277"/><c r="L15" s="277"/><c r="M15" s="278"/><c r="N15" s="276" t="str"><f>Translation!A105</f><v>Renewable energy sources (excluding electricity and heat sold to public networks)</v></c><c r="O15" s="277"/><c r="P15" s="277"/><c r="Q15" s="277"/><c r="R15" s="277"/><c r="S15" s="277"/><c r="T15" s="278"/><c r="U15" s="27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5"/></row><row r="17" spans="1:21" s="21" customFormat="1" ht="15.75"><c r="A17" s="22"/><c r="B17" s="70" t="str"><f>Translation!A59</f><v>RESIDENTIAL</v></c><c r="C17" s="124"><f>SUM(C18:C26)</f><v>36782.482963847826</v></c><c r="D17" s="124"><f>SUM(D18:D26)</f><v>0</v></c><c r="E17" s="124"><f>SUM(E18:E26)</f><v>0</v></c><c r="F17" s="68"><f t="shared" ref="F17:F52" si="0">SUM(C17:E17)</f><v>36782.482963847826</v></c><c r="G17" s="124"><f t="shared" ref="G17:L17" si="1">SUM(G18:G26)</f><v>16762.648650695639</v></c><c r="H17" s="124"><f t="shared" si="1"/><v>0</v></c><c r="I17" s="124"><f t="shared" si="1"/><v>0</v></c><c r="J17" s="124"><f t="shared" si="1"/><v>2400.3681434161399</v></c><c r="K17" s="124"><f t="shared" si="1"/><v>0</v></c><c r="L17" s="124"><f t="shared" si="1"/><v>0</v></c><c r="M17" s="68"><f t="shared" ref="M17:M52" si="2">SUM(G17:L17)</f><v>19163.01679411178</v></c><c r="N17" s="124"><f t="shared" ref="N17:S17" si="3">SUM(N18:N26)</f><v>0</v></c><c r="O17" s="124"><f t="shared" si="3"/><v>0</v></c><c r="P17" s="124"><f t="shared" si="3"/><v>6011.5001306685926</v></c><c r="Q17" s="124"><f t="shared" si="3"/><v>165.70100093173215</v></c><c r="R17" s="124"><f t="shared" si="3"/><v>0</v></c><c r="S17" s="124"><f t="shared" si="3"/><v>3335.2637367028137</v></c><c r="T17" s="68"><f t="shared" ref="T17:T52" si="4">SUM(N17:S17)</f><v>9512.4648683031373</v></c><c r="U17" s="68"><f t="shared" ref="U17:U52" si="5">F17+M17+T17</f><v>65457.96462626275</v></c></row><row r="18" spans="1:21" s="21" customFormat="1" ht="15.75"><c r="A18" s="22"/><c r="B18" s="197" t="str"><f>Translation!A60</f><v>Hot water</v></c><c r="C18" s="158"><f>'BAU 2020'!C18*(1-ISEAP!$O$122)</f><v>1103.474488915434</v></c><c r="D18" s="158"><f>'BAU 2020'!D18*(1-ISEAP!$O$122)</f><v>0</v></c><c r="E18" s="158"><f>'BAU 2020'!E18*(1-ISEAP!$O$122)</f><v>0</v></c><c r="F18" s="68"><f t="shared" si="0"/><v>1103.474488915434</v></c><c r="G18" s="158"><f>'BAU 2020'!G18*(1-ISEAP!$O$122)</f><v>965.54017780100526</v></c><c r="H18" s="158"><f>'BAU 2020'!H18*(1-ISEAP!$O$122)</f><v>0</v></c><c r="I18" s="158"><f>'BAU 2020'!I18*(1-ISEAP!$O$122)</f><v>0</v></c><c r="J18" s="158"><f>'BAU 2020'!J18*(1-ISEAP!$O$122)</f><v>68.967155557214625</v></c><c r="K18" s="158"><f>'BAU 2020'!K18*(1-ISEAP!$O$122)</f><v>0</v></c><c r="L18" s="158"><f>'BAU 2020'!L18*(1-ISEAP!$O$122)</f><v>0</v></c><c r="M18" s="68"><f t="shared" si="2"/><v>1034.50733335822</v></c><c r="N18" s="158"><v>0</v></c><c r="O18" s="158"><v>0</v></c><c r="P18" s="158"><v>5830.2204031535357</v></c><c r="Q18" s="158"><v>44.847849255027214</v></c><c r="R18" s="158"><v>0</v></c><c r="S18" s="158"><v>313.93494478519062</v></c><c r="T18" s="68"><f t="shared" si="4"/><v>6189.0031971937542</v></c><c r="U18" s="68"><f t="shared" si="5"/><v>8326.9850194674073</v></c></row><row r="19" spans="1:21" s="21" customFormat="1" ht="15.75"><c r="A19" s="22"/><c r="B19" s="197" t="str"><f>Translation!A61</f><v>Heating and cooling</v></c><c r="C19" s="158"><f>'BAU 2020'!C19*(1-ISEAP!$O$122)</f><v>26483.387733970434</v></c><c r="D19" s="158"><f>'BAU 2020'!D19*(1-ISEAP!$O$122)</f><v>0</v></c><c r="E19" s="158"><f>'BAU 2020'!E19*(1-ISEAP!$O$122)</f><v>0</v></c><c r="F19" s="68"><f t="shared" si="0"/><v>26483.387733970434</v></c><c r="G19" s="158"><f>'BAU 2020'!G19*(1-ISEAP!$O$122)</f><v>15797.108472894635</v></c><c r="H19" s="158"><f>'BAU 2020'!H19*(1-ISEAP!$O$122)</f><v>0</v></c><c r="I19" s="158"><f>'BAU 2020'!I19*(1-ISEAP!$O$122)</f><v>0</v></c><c r="J19" s="158"><f>'BAU 2020'!J19*(1-ISEAP!$O$122)</f><v>1858.4833497523102</v></c><c r="K19" s="158"><f>'BAU 2020'!K19*(1-ISEAP!$O$122)</f><v>0</v></c><c r="L19" s="158"><f>'BAU 2020'!L19*(1-ISEAP!$O$122)</f><v>0</v></c><c r="M19" s="68"><f t="shared" si="2"/><v>17655.591822646944</v></c><c r="N19" s="158"><v>0</v></c><c r="O19" s="158"><v>0</v></c><c r="P19" s="158"><v>181.27972751505737</v></c><c r="Q19" s="158"><v>120.85315167670494</v></c><c r="R19" s="158"><v>0</v></c><c r="S19" s="158"><v>3021.3287919176232</v></c><c r="T19" s="68"><f t="shared" si="4"/><v>3323.4616711093854</v></c><c r="U19" s="68"><f t="shared" si="5"/><v>47462.441227726762</v></c></row><row r="20" spans="1:21" s="21" customFormat="1" ht="15.75"><c r="A20" s="22"/><c r="B20" s="197" t="str"><f>Translation!A62</f><v>Lighting</v></c><c r="C20" s="158"><f>'BAU 2020'!C20*(1-ISEAP!$O$122)</f><v>1471.2993185539117</v></c><c r="D20" s="158"><f>'BAU 2020'!D20*(1-ISEAP!$O$122)</f><v>0</v></c><c r="E20" s="158"><f>'BAU 2020'!E20*(1-ISEAP!$O$122)</f><v>0</v></c><c r="F20" s="68"><f t="shared" si="0"/><v>1471.2993185539117</v></c><c r="G20" s="158"><f>'BAU 2020'!G20*(1-ISEAP!$O$122)</f><v>0</v></c><c r="H20" s="158"><f>'BAU 2020'!H20*(1-ISEAP!$O$122)</f><v>0</v></c><c r="I20" s="158"><f>'BAU 2020'!I20*(1-ISEAP!$O$122)</f><v>0</v></c><c r="J20" s="158"><f>'BAU 2020'!J20*(1-ISEAP!$O$122)</f><v>0</v></c><c r="K20" s="158"><f>'BAU 2020'!K20*(1-ISEAP!$O$122)</f><v>0</v></c><c r="L20" s="158"><f>'BAU 2020'!L20*(1-ISEAP!$O$122)</f><v>0</v></c><c r="M20" s="68"><f t="shared" si="2"/><v>0</v></c><c r="N20" s="158"><v>0</v></c><c r="O20" s="158"><v>0</v></c><c r="P20" s="158"><v>0</v></c><c r="Q20" s="158"><v>0</v></c><c r="R20" s="158"><v>0</v></c><c r="S20" s="158"><v>0</v></c><c r="T20" s="68"><f t="shared" si="4"/><v>0</v></c><c r="U20" s="68"><f t="shared" si="5"/><v>1471.2993185539117</v></c></row><row r="21" spans="1:21" s="21" customFormat="1" ht="15.75"><c r="A21" s="22"/><c r="B21" s="197" t="str"><f>Translation!A63</f><v>Cooking</v></c><c r="C21" s="158"><f>'BAU 2020'!C21*(1-ISEAP!$O$122)</f><v>1103.474488915434</v></c><c r="D21" s="158"><f>'BAU 2020'!D21*(1-ISEAP!$O$122)</f><v>0</v></c><c r="E21" s="158"><f>'BAU 2020'!E21*(1-ISEAP!$O$122)</f><v>0</v></c><c r="F21" s="68"><f t="shared" si="0"/><v>1103.474488915434</v></c><c r="G21" s="158"><f>'BAU 2020'!G21*(1-ISEAP!$O$122)</f><v>0</v></c><c r="H21" s="158"><f>'BAU 2020'!H21*(1-ISEAP!$O$122)</f><v>0</v></c><c r="I21" s="158"><f>'BAU 2020'!I21*(1-ISEAP!$O$122)</f><v>0</v></c><c r="J21" s="158"><f>'BAU 2020'!J21*(1-ISEAP!$O$122)</f><v>472.91763810661485</v></c><c r="K21" s="158"><f>'BAU 2020'!K21*(1-ISEAP!$O$122)</f><v>0</v></c><c r="L21" s="158"><f>'BAU 2020'!L21*(1-ISEAP!$O$122)</f><v>0</v></c><c r="M21" s="68"><f t="shared" si="2"/><v>472.91763810661485</v></c><c r="N21" s="158"><v>0</v></c><c r="O21" s="158"><v>0</v></c><c r="P21" s="158"><v>0</v></c><c r="Q21" s="158"><v>0</v></c><c r="R21" s="158"><v>0</v></c><c r="S21" s="158"><v>0</v></c><c r="T21" s="68"><f t="shared" si="4"/><v>0</v></c><c r="U21" s="68"><f t="shared" si="5"/><v>1576.392127022049</v></c></row><row r="22" spans="1:21" s="21" customFormat="1" ht="15.75"><c r="A22" s="22"/><c r="B22" s="197" t="str"><f>Translation!A64</f><v>Refrigerator and freezers</v></c><c r="C22" s="158"><f>'BAU 2020'!C22*(1-ISEAP!$O$122)</f><v>0</v></c><c r="D22" s="158"><f>'BAU 2020'!D22*(1-ISEAP!$O$122)</f><v>0</v></c><c r="E22" s="158"><f>'BAU 2020'!E22*(1-ISEAP!$O$122)</f><v>0</v></c><c r="F22" s="68"><f t="shared" si="0"/><v>0</v></c><c r="G22" s="158"><f>'BAU 2020'!G22*(1-ISEAP!$O$122)</f><v>0</v></c><c r="H22" s="158"><f>'BAU 2020'!H22*(1-ISEAP!$O$122)</f><v>0</v></c><c r="I22" s="158"><f>'BAU 2020'!I22*(1-ISEAP!$O$122)</f><v>0</v></c><c r="J22" s="158"><f>'BAU 2020'!J22*(1-ISEAP!$O$122)</f><v>0</v></c><c r="K22" s="158"><f>'BAU 2020'!K22*(1-ISEAP!$O$122)</f><v>0</v></c><c r="L22" s="158"><f>'BAU 2020'!L22*(1-ISEAP!$O$122)</f><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f>'BAU 2020'!C23*(1-ISEAP!$O$122)</f><v>0</v></c><c r="D23" s="158"><f>'BAU 2020'!D23*(1-ISEAP!$O$122)</f><v>0</v></c><c r="E23" s="158"><f>'BAU 2020'!E23*(1-ISEAP!$O$122)</f><v>0</v></c><c r="F23" s="68"><f t="shared" si="0"/><v>0</v></c><c r="G23" s="158"><f>'BAU 2020'!G23*(1-ISEAP!$O$122)</f><v>0</v></c><c r="H23" s="158"><f>'BAU 2020'!H23*(1-ISEAP!$O$122)</f><v>0</v></c><c r="I23" s="158"><f>'BAU 2020'!I23*(1-ISEAP!$O$122)</f><v>0</v></c><c r="J23" s="158"><f>'BAU 2020'!J23*(1-ISEAP!$O$122)</f><v>0</v></c><c r="K23" s="158"><f>'BAU 2020'!K23*(1-ISEAP!$O$122)</f><v>0</v></c><c r="L23" s="158"><f>'BAU 2020'!L23*(1-ISEAP!$O$122)</f><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f>'BAU 2020'!C24*(1-ISEAP!$O$122)</f><v>0</v></c><c r="D24" s="158"><f>'BAU 2020'!D24*(1-ISEAP!$O$122)</f><v>0</v></c><c r="E24" s="158"><f>'BAU 2020'!E24*(1-ISEAP!$O$122)</f><v>0</v></c><c r="F24" s="68"><f t="shared" si="0"/><v>0</v></c><c r="G24" s="158"><f>'BAU 2020'!G24*(1-ISEAP!$O$122)</f><v>0</v></c><c r="H24" s="158"><f>'BAU 2020'!H24*(1-ISEAP!$O$122)</f><v>0</v></c><c r="I24" s="158"><f>'BAU 2020'!I24*(1-ISEAP!$O$122)</f><v>0</v></c><c r="J24" s="158"><f>'BAU 2020'!J24*(1-ISEAP!$O$122)</f><v>0</v></c><c r="K24" s="158"><f>'BAU 2020'!K24*(1-ISEAP!$O$122)</f><v>0</v></c><c r="L24" s="158"><f>'BAU 2020'!L24*(1-ISEAP!$O$122)</f><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f>'BAU 2020'!C25*(1-ISEAP!$O$122)</f><v>0</v></c><c r="D25" s="158"><f>'BAU 2020'!D25*(1-ISEAP!$O$122)</f><v>0</v></c><c r="E25" s="158"><f>'BAU 2020'!E25*(1-ISEAP!$O$122)</f><v>0</v></c><c r="F25" s="68"><f t="shared" si="0"/><v>0</v></c><c r="G25" s="158"><f>'BAU 2020'!G25*(1-ISEAP!$O$122)</f><v>0</v></c><c r="H25" s="158"><f>'BAU 2020'!H25*(1-ISEAP!$O$122)</f><v>0</v></c><c r="I25" s="158"><f>'BAU 2020'!I25*(1-ISEAP!$O$122)</f><v>0</v></c><c r="J25" s="158"><f>'BAU 2020'!J25*(1-ISEAP!$O$122)</f><v>0</v></c><c r="K25" s="158"><f>'BAU 2020'!K25*(1-ISEAP!$O$122)</f><v>0</v></c><c r="L25" s="158"><f>'BAU 2020'!L25*(1-ISEAP!$O$122)</f><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2020'!C26*(1-ISEAP!$O$122)</f><v>6620.8469334926085</v></c><c r="D26" s="158"><f>'BAU 2020'!D26*(1-ISEAP!$O$122)</f><v>0</v></c><c r="E26" s="158"><f>'BAU 2020'!E26*(1-ISEAP!$O$122)</f><v>0</v></c><c r="F26" s="68"><f t="shared" si="0"/><v>6620.8469334926085</v></c><c r="G26" s="158"><f>'BAU 2020'!G26*(1-ISEAP!$O$122)</f><v>0</v></c><c r="H26" s="158"><f>'BAU 2020'!H26*(1-ISEAP!$O$122)</f><v>0</v></c><c r="I26" s="158"><f>'BAU 2020'!I26*(1-ISEAP!$O$122)</f><v>0</v></c><c r="J26" s="158"><f>'BAU 2020'!J26*(1-ISEAP!$O$122)</f><v>0</v></c><c r="K26" s="158"><f>'BAU 2020'!K26*(1-ISEAP!$O$122)</f><v>0</v></c><c r="L26" s="158"><f>'BAU 2020'!L26*(1-ISEAP!$O$122)</f><v>0</v></c><c r="M26" s="68"><f t="shared" si="2"/><v>0</v></c><c r="N26" s="158"><v>0</v></c><c r="O26" s="158"><v>0</v></c><c r="P26" s="158"><v>0</v></c><c r="Q26" s="158"><v>0</v></c><c r="R26" s="158"><v>0</v></c><c r="S26" s="158"><v>0</v></c><c r="T26" s="68"><f t="shared" si="4"/><v>0</v></c><c r="U26" s="68"><f t="shared" si="5"/><v>6620.8469334926085</v></c></row><row r="27" spans="1:21" s="21" customFormat="1" ht="15.75"><c r="A27" s="22"/><c r="B27" s="70" t="str"><f>Translation!A69</f><v>PRIMARY SECTOR</v></c><c r="C27" s="124"><f>SUM(C28:C29)</f><v>3623.9981545131332</v></c><c r="D27" s="124"><f>SUM(D28:D29)</f><v>0</v></c><c r="E27" s="124"><f>SUM(E28:E29)</f><v>0</v></c><c r="F27" s="68"><f t="shared" si="0"/><v>3623.9981545131332</v></c><c r="G27" s="124"><f t="shared" ref="G27:L27" si="6">SUM(G28:G29)</f><v>937.77460125822904</v></c><c r="H27" s="124"><f t="shared" si="6"/><v>16.915832614745096</v></c><c r="I27" s="124"><f t="shared" si="6"/><v>0</v></c><c r="J27" s="124"><f t="shared" si="6"/><v>734.98672349079629</v></c><c r="K27" s="124"><f t="shared" si="6"/><v>0</v></c><c r="L27" s="124"><f t="shared" si="6"/><v>0</v></c><c r="M27" s="68"><f t="shared" si="2"/><v>1689.6771573637704</v></c><c r="N27" s="124"><f t="shared" ref="N27:S27" si="7">SUM(N28:N29)</f><v>0</v></c><c r="O27" s="124"><f t="shared" si="7"/><v>298</v></c><c r="P27" s="124"><f t="shared" si="7"/><v>0</v></c><c r="Q27" s="124"><f t="shared" si="7"/><v>0</v></c><c r="R27" s="124"><f t="shared" si="7"/><v>0</v></c><c r="S27" s="124"><f t="shared" si="7"/><v>1879</v></c><c r="T27" s="68"><f t="shared" si="4"/><v>2177</v></c><c r="U27" s="68"><f t="shared" si="5"/><v>7490.6753118769038</v></c></row><row r="28" spans="1:21" s="21" customFormat="1" ht="15.75"><c r="A28" s="22"/><c r="B28" s="198" t="str"><f>Translation!A70</f><v>Agriculture, forestry and fishing</v></c><c r="C28" s="158"><f>'BAU 2020'!C28*(1-ISEAP!$O$122)</f><v>3612.8462469188203</v></c><c r="D28" s="158"><f>'BAU 2020'!D28*(1-ISEAP!$O$122)</f><v>0</v></c><c r="E28" s="158"><f>'BAU 2020'!E28*(1-ISEAP!$O$122)</f><v>0</v></c><c r="F28" s="68"><f t="shared" si="0"/><v>3612.8462469188203</v></c><c r="G28" s="158"><f>'BAU 2020'!G28*(1-ISEAP!$O$122)</f><v>934.88884490526254</v></c><c r="H28" s="158"><f>'BAU 2020'!H28*(1-ISEAP!$O$122)</f><v>0</v></c><c r="I28" s="158"><f>'BAU 2020'!I28*(1-ISEAP!$O$122)</f><v>0</v></c><c r="J28" s="158"><f>'BAU 2020'!J28*(1-ISEAP!$O$122)</f><v>732.72499385574986</v></c><c r="K28" s="158"><f>'BAU 2020'!K28*(1-ISEAP!$O$122)</f><v>0</v></c><c r="L28" s="158"><f>'BAU 2020'!L28*(1-ISEAP!$O$122)</f><v>0</v></c><c r="M28" s="68"><f t="shared" si="2"/><v>1667.6138387610124</v></c><c r="N28" s="158"><v>0</v></c><c r="O28" s="158"><v>298</v></c><c r="P28" s="158"><v>0</v></c><c r="Q28" s="158"><v>0</v></c><c r="R28" s="158"><v>0</v></c><c r="S28" s="158"><v>1879</v></c><c r="T28" s="68"><f t="shared" si="4"/><v>2177</v></c><c r="U28" s="68"><f t="shared" si="5"/><v>7457.4600856798324</v></c></row><row r="29" spans="1:21" s="21" customFormat="1" ht="15.75"><c r="A29" s="22"/><c r="B29" s="198" t="str"><f>Translation!A71</f><v>Mining and quarrying</v></c><c r="C29" s="158"><f>'BAU 2020'!C29*(1-ISEAP!$O$122)</f><v>11.151907594312672</v></c><c r="D29" s="158"><f>'BAU 2020'!D29*(1-ISEAP!$O$122)</f><v>0</v></c><c r="E29" s="158"><f>'BAU 2020'!E29*(1-ISEAP!$O$122)</f><v>0</v></c><c r="F29" s="68"><f t="shared" si="0"/><v>11.151907594312672</v></c><c r="G29" s="158"><f>'BAU 2020'!G29*(1-ISEAP!$O$122)</f><v>2.8857563529665109</v></c><c r="H29" s="158"><f>'BAU 2020'!H29*(1-ISEAP!$O$122)</f><v>16.915832614745096</v></c><c r="I29" s="158"><f>'BAU 2020'!I29*(1-ISEAP!$O$122)</f><v>0</v></c><c r="J29" s="158"><f>'BAU 2020'!J29*(1-ISEAP!$O$122)</f><v>2.2617296350464504</v></c><c r="K29" s="158"><f>'BAU 2020'!K29*(1-ISEAP!$O$122)</f><v>0</v></c><c r="L29" s="158"><f>'BAU 2020'!L29*(1-ISEAP!$O$122)</f><v>0</v></c><c r="M29" s="68"><f t="shared" si="2"/><v>22.063318602758056</v></c><c r="N29" s="158"><v>0</v></c><c r="O29" s="158"><v>0</v></c><c r="P29" s="158"><v>0</v></c><c r="Q29" s="158"><v>0</v></c><c r="R29" s="158"><v>0</v></c><c r="S29" s="158"><v>0</v></c><c r="T29" s="68"><f t="shared" si="4"/><v>0</v></c><c r="U29" s="68"><f t="shared" si="5"/><v>33.215226197070727</v></c></row><row r="30" spans="1:21" s="21" customFormat="1" ht="15.75"><c r="A30" s="22"/><c r="B30" s="65" t="str"><f>Translation!A72</f><v>SECONDARY SECTOR</v></c><c r="C30" s="124"><f>SUM(C31:C33)</f><v>35709.723996597153</v></c><c r="D30" s="124"><f>SUM(D31:D33)</f><v>0</v></c><c r="E30" s="124"><f>SUM(E31:E33)</f><v>0</v></c><c r="F30" s="68"><f t="shared" si="0"/><v>35709.723996597153</v></c><c r="G30" s="124"><f t="shared" ref="G30:L30" si="8">SUM(G31:G33)</f><v>9240.5323496775418</v></c><c r="H30" s="124"><f t="shared" si="8"/><v>0</v></c><c r="I30" s="124"><f t="shared" si="8"/><v>0</v></c><c r="J30" s="124"><f t="shared" si="8"/><v>7242.325166290173</v></c><c r="K30" s="124"><f t="shared" si="8"/><v>0</v></c><c r="L30" s="124"><f t="shared" si="8"/><v>0</v></c><c r="M30" s="68"><f t="shared" si="2"/><v>16482.857515967713</v></c><c r="N30" s="124"><f t="shared" ref="N30:S30" si="9">SUM(N31:N33)</f><v>0</v></c><c r="O30" s="124"><f t="shared" si="9"/><v>0</v></c><c r="P30" s="124"><f t="shared" si="9"/><v>2028.3640500665763</v></c><c r="Q30" s="124"><f t="shared" si="9"/><v>0</v></c><c r="R30" s="124"><f t="shared" si="9"/><v>0</v></c><c r="S30" s="124"><f t="shared" si="9"/><v>676.39562376669107</v></c><c r="T30" s="68"><f t="shared" si="4"/><v>2704.7596738332672</v></c><c r="U30" s="68"><f t="shared" si="5"/><v>54897.341186398131</v></c></row><row r="31" spans="1:21" s="21" customFormat="1" ht="15.75"><c r="A31" s="22"/><c r="B31" s="79" t="str"><f>Translation!A73</f><v>Manufacturing</v></c><c r="C31" s="158"><f>'BAU 2020'!C31*(1-ISEAP!$O$122)</f><v>35351.208169440921</v></c><c r="D31" s="158"><f>'BAU 2020'!D31*(1-ISEAP!$O$122)</f><v>0</v></c><c r="E31" s="158"><f>'BAU 2020'!E31*(1-ISEAP!$O$122)</f><v>0</v></c><c r="F31" s="68"><f t="shared" si="0"/><v>35351.208169440921</v></c><c r="G31" s="158"><f>'BAU 2020'!G31*(1-ISEAP!$O$122)</f><v>9147.7599412706804</v></c><c r="H31" s="158"><f>'BAU 2020'!H31*(1-ISEAP!$O$122)</f><v>0</v></c><c r="I31" s="158"><f>'BAU 2020'!I31*(1-ISEAP!$O$122)</f><v>0</v></c><c r="J31" s="158"><f>'BAU 2020'!J31*(1-ISEAP!$O$122)</f><v>7169.6142095274063</v></c><c r="K31" s="158"><f>'BAU 2020'!K31*(1-ISEAP!$O$122)</f><v>0</v></c><c r="L31" s="158"><f>'BAU 2020'!L31*(1-ISEAP!$O$122)</f><v>0</v></c><c r="M31" s="68"><f t="shared" si="2"/><v>16317.374150798087</v></c><c r="N31" s="158"><v>0</v></c><c r="O31" s="158"><v>0</v></c><c r="P31" s="158"><v>2028.3640500665763</v></c><c r="Q31" s="158"><v>0</v></c><c r="R31" s="158"><v>0</v></c><c r="S31" s="158"><v>676.39562376669107</v></c><c r="T31" s="68"><f t="shared" si="4"/><v>2704.7596738332672</v></c><c r="U31" s="68"><f t="shared" si="5"/><v>54373.341994072274</v></c></row><row r="32" spans="1:21" s="21" customFormat="1" ht="30"><c r="A32" s="22"/><c r="B32" s="198" t="str"><f>Translation!A74</f><v>Water supply, sewerage, waste management and remediation activities</v></c><c r="C32" s="158"><f>'BAU 2020'!C32*(1-ISEAP!$O$122)</f><v>35.171400874370725</v></c><c r="D32" s="158"><f>'BAU 2020'!D32*(1-ISEAP!$O$122)</f><v>0</v></c><c r="E32" s="158"><f>'BAU 2020'!E32*(1-ISEAP!$O$122)</f><v>0</v></c><c r="F32" s="68"><f t="shared" si="0"/><v>35.171400874370725</v></c><c r="G32" s="158"><f>'BAU 2020'!G32*(1-ISEAP!$O$122)</f><v>9.101231574740531</v></c><c r="H32" s="158"><f>'BAU 2020'!H32*(1-ISEAP!$O$122)</f><v>0</v></c><c r="I32" s="158"><f>'BAU 2020'!I32*(1-ISEAP!$O$122)</f><v>0</v></c><c r="J32" s="158"><f>'BAU 2020'!J32*(1-ISEAP!$O$122)</f><v>7.1331473105311156</v></c><c r="K32" s="158"><f>'BAU 2020'!K32*(1-ISEAP!$O$122)</f><v>0</v></c><c r="L32" s="158"><f>'BAU 2020'!L32*(1-ISEAP!$O$122)</f><v>0</v></c><c r="M32" s="68"><f t="shared" si="2"/><v>16.234378885271646</v></c><c r="N32" s="158"><v>0</v></c><c r="O32" s="158"><v>0</v></c><c r="P32" s="158"><v>0</v></c><c r="Q32" s="158"><v>0</v></c><c r="R32" s="158"><v>0</v></c><c r="S32" s="158"><v>0</v></c><c r="T32" s="68"><f t="shared" si="4"/><v>0</v></c><c r="U32" s="68"><f t="shared" si="5"/><v>51.405779759642371</v></c></row><row r="33" spans="1:21" s="21" customFormat="1" ht="15.75"><c r="A33" s="22"/><c r="B33" s="198" t="str"><f>Translation!A75</f><v>Construction</v></c><c r="C33" s="158"><f>'BAU 2020'!C33*(1-ISEAP!$O$122)</f><v>323.34442628186099</v></c><c r="D33" s="158"><f>'BAU 2020'!D33*(1-ISEAP!$O$122)</f><v>0</v></c><c r="E33" s="158"><f>'BAU 2020'!E33*(1-ISEAP!$O$122)</f><v>0</v></c><c r="F33" s="68"><f t="shared" si="0"/><v>323.34442628186099</v></c><c r="G33" s="158"><f>'BAU 2020'!G33*(1-ISEAP!$O$122)</f><v>83.6711768321195</v></c><c r="H33" s="158"><f>'BAU 2020'!H33*(1-ISEAP!$O$122)</f><v>0</v></c><c r="I33" s="158"><f>'BAU 2020'!I33*(1-ISEAP!$O$122)</f><v>0</v></c><c r="J33" s="158"><f>'BAU 2020'!J33*(1-ISEAP!$O$122)</f><v>65.577809452235783</v></c><c r="K33" s="158"><f>'BAU 2020'!K33*(1-ISEAP!$O$122)</f><v>0</v></c><c r="L33" s="158"><f>'BAU 2020'!L33*(1-ISEAP!$O$122)</f><v>0</v></c><c r="M33" s="68"><f t="shared" si="2"/><v>149.24898628435528</v></c><c r="N33" s="158"><v>0</v></c><c r="O33" s="158"><v>0</v></c><c r="P33" s="158"><v>0</v></c><c r="Q33" s="158"><v>0</v></c><c r="R33" s="158"><v>0</v></c><c r="S33" s="158"><v>0</v></c><c r="T33" s="68"><f t="shared" si="4"/><v>0</v></c><c r="U33" s="68"><f t="shared" si="5"/><v>472.59341256621627</v></c></row><row r="34" spans="1:21" s="21" customFormat="1" ht="15.75"><c r="A34" s="22"/><c r="B34" s="65" t="str"><f>Translation!A76</f><v>TERTIARY SECTOR</v></c><c r="C34" s="124"><f>SUM(C35:C42)</f><v>24714.259014126284</v></c><c r="D34" s="124"><f>SUM(D35:D42)</f><v>0</v></c><c r="E34" s="124"><f>SUM(E35:E42)</f><v>0</v></c><c r="F34" s="68"><f t="shared" si="0"/><v>24714.259014126284</v></c><c r="G34" s="124"><f t="shared" ref="G34:L34" si="10">SUM(G35:G42)</f><v>5724.34263593787</v></c><c r="H34" s="124"><f t="shared" si="10"/><v>0</v></c><c r="I34" s="124"><f t="shared" si="10"/><v>0</v></c><c r="J34" s="124"><f t="shared" si="10"/><v>4486.4894319824953</v></c><c r="K34" s="124"><f t="shared" si="10"/><v>0</v></c><c r="L34" s="124"><f t="shared" si="10"/><v>0</v></c><c r="M34" s="68"><f t="shared" si="2"/><v>10210.832067920364</v></c><c r="N34" s="124"><f t="shared" ref="N34:S34" si="11">SUM(N35:N42)</f><v>0</v></c><c r="O34" s="124"><f t="shared" si="11"/><v>0</v></c><c r="P34" s="124"><f t="shared" si="11"/><v>1233.0129536051322</v></c><c r="Q34" s="124"><f t="shared" si="11"/><v>0</v></c><c r="R34" s="124"><f t="shared" si="11"/><v>0</v></c><c r="S34" s="124"><f t="shared" si="11"/><v>411.00431786837743</v></c><c r="T34" s="68"><f t="shared" si="4"/><v>1644.0172714735097</v></c><c r="U34" s="68"><f t="shared" si="5"/><v>36569.108353520161</v></c></row><row r="35" spans="1:21" s="21" customFormat="1" ht="30"><c r="A35" s="22"/><c r="B35" s="198" t="str"><f>Translation!A77</f><v xml:space="preserve">Wholesale and retail trade; repair of motor vehicles and motorcycles </v></c><c r="C35" s="158"><f>'BAU 2020'!C35*(1-ISEAP!$O$122)</f><v>8375.5162575026134</v></c><c r="D35" s="158"><f>'BAU 2020'!D35*(1-ISEAP!$O$122)</f><v>0</v></c><c r="E35" s="158"><f>'BAU 2020'!E35*(1-ISEAP!$O$122)</f><v>0</v></c><c r="F35" s="68"><f t="shared" si="0"/><v>8375.5162575026134</v></c><c r="G35" s="158"><f>'BAU 2020'!G35*(1-ISEAP!$O$122)</f><v>2167.3152368827646</v></c><c r="H35" s="158"><f>'BAU 2020'!H35*(1-ISEAP!$O$122)</f><v>0</v></c><c r="I35" s="158"><f>'BAU 2020'!I35*(1-ISEAP!$O$122)</f><v>0</v></c><c r="J35" s="158"><f>'BAU 2020'!J35*(1-ISEAP!$O$122)</f><v>1698.6469057605684</v></c><c r="K35" s="158"><f>'BAU 2020'!K35*(1-ISEAP!$O$122)</f><v>0</v></c><c r="L35" s="158"><f>'BAU 2020'!L35*(1-ISEAP!$O$122)</f><v>0</v></c><c r="M35" s="68"><f t="shared" si="2"/><v>3865.9621426433332</v></c><c r="N35" s="223"><v>0</v></c><c r="O35" s="223"><v>0</v></c><c r="P35" s="223"><v>466.83574544352774</v></c><c r="Q35" s="223"><v>0</v></c><c r="R35" s="223"><v>0</v></c><c r="S35" s="223"><v>155.61191514784258</v></c><c r="T35" s="68"><f t="shared" si="4"/><v>622.44766059137032</v></c><c r="U35" s="68"><f t="shared" si="5"/><v>12863.926060737316</v></c></row><row r="36" spans="1:21" s="21" customFormat="1" ht="15.75"><c r="A36" s="22"/><c r="B36" s="198" t="str"><f>Translation!A78</f><v>Accomodation and food service activities</v></c><c r="C36" s="158"><f>'BAU 2020'!C36*(1-ISEAP!$O$122)</f><v>555.58520611218626</v></c><c r="D36" s="158"><f>'BAU 2020'!D36*(1-ISEAP!$O$122)</f><v>0</v></c><c r="E36" s="158"><f>'BAU 2020'!E36*(1-ISEAP!$O$122)</f><v>0</v></c><c r="F36" s="68"><f t="shared" si="0"/><v>555.58520611218626</v></c><c r="G36" s="158"><f>'BAU 2020'!G36*(1-ISEAP!$O$122)</f><v>143.76764913028003</v></c><c r="H36" s="158"><f>'BAU 2020'!H36*(1-ISEAP!$O$122)</f><v>0</v></c><c r="I36" s="158"><f>'BAU 2020'!I36*(1-ISEAP!$O$122)</f><v>0</v></c><c r="J36" s="158"><f>'BAU 2020'!J36*(1-ISEAP!$O$122)</f><v>112.67879641489888</v></c><c r="K36" s="158"><f>'BAU 2020'!K36*(1-ISEAP!$O$122)</f><v>0</v></c><c r="L36" s="158"><f>'BAU 2020'!L36*(1-ISEAP!$O$122)</f><v>0</v></c><c r="M36" s="68"><f t="shared" si="2"/><v>256.4464455451789</v></c><c r="N36" s="223"><v>0</v></c><c r="O36" s="223"><v>0</v></c><c r="P36" s="223"><v>30.967289165064031</v></c><c r="Q36" s="223"><v>0</v></c><c r="R36" s="223"><v>0</v></c><c r="S36" s="223"><v>10.322429721688012</v></c><c r="T36" s="68"><f t="shared" si="4"/><v>41.289718886752041</v></c><c r="U36" s="68"><f t="shared" si="5"/><v>853.32137054411714</v></c></row><row r="37" spans="1:21" s="21" customFormat="1" ht="15.75"><c r="A37" s="22"/><c r="B37" s="198" t="str"><f>Translation!A79</f><v>General public administration and social security</v></c><c r="C37" s="158"><f>'BAU 2020'!C37*(1-ISEAP!$O$122)</f><v>878.08006713132875</v></c><c r="D37" s="158"><f>'BAU 2020'!D37*(1-ISEAP!$O$122)</f><v>0</v></c><c r="E37" s="158"><f>'BAU 2020'!E37*(1-ISEAP!$O$122)</f><v>0</v></c><c r="F37" s="68"><f t="shared" si="0"/><v>878.08006713132875</v></c><c r="G37" s="158"><f>'BAU 2020'!G37*(1-ISEAP!$O$122)</f><v>227.21898569440813</v></c><c r="H37" s="158"><f>'BAU 2020'!H37*(1-ISEAP!$O$122)</f><v>0</v></c><c r="I37" s="158"><f>'BAU 2020'!I37*(1-ISEAP!$O$122)</f><v>0</v></c><c r="J37" s="158"><f>'BAU 2020'!J37*(1-ISEAP!$O$122)</f><v>178.08430467871946</v></c><c r="K37" s="158"><f>'BAU 2020'!K37*(1-ISEAP!$O$122)</f><v>0</v></c><c r="L37" s="158"><f>'BAU 2020'!L37*(1-ISEAP!$O$122)</f><v>0</v></c><c r="M37" s="68"><f t="shared" si="2"/><v>405.3032903731276</v></c><c r="N37" s="223"><v>0</v></c><c r="O37" s="223"><v>0</v></c><c r="P37" s="223"><v>48.942554714900048</v></c><c r="Q37" s="223"><v>0</v></c><c r="R37" s="223"><v>0</v></c><c r="S37" s="223"><v>16.314184904966687</v></c><c r="T37" s="68"><f t="shared" si="4"/><v>65.256739619866735</v></c><c r="U37" s="68"><f t="shared" si="5"/><v>1348.6400971243231</v></c></row><row r="38" spans="1:21" s="21" customFormat="1" ht="15.75"><c r="A38" s="22"/><c r="B38" s="198" t="str"><f>Translation!A80</f><v>Defense, justice, police and fire departments</v></c><c r="C38" s="158"><f>'BAU 2020'!C38*(1-ISEAP!$O$122)</f><v>207.4590197357459</v></c><c r="D38" s="158"><f>'BAU 2020'!D38*(1-ISEAP!$O$122)</f><v>0</v></c><c r="E38" s="158"><f>'BAU 2020'!E38*(1-ISEAP!$O$122)</f><v>0</v></c><c r="F38" s="68"><f t="shared" si="0"/><v>207.4590197357459</v></c><c r="G38" s="158"><f>'BAU 2020'!G38*(1-ISEAP!$O$122)</f><v>53.683746849548029</v></c><c r="H38" s="158"><f>'BAU 2020'!H38*(1-ISEAP!$O$122)</f><v>0</v></c><c r="I38" s="158"><f>'BAU 2020'!I38*(1-ISEAP!$O$122)</f><v>0</v></c><c r="J38" s="158"><f>'BAU 2020'!J38*(1-ISEAP!$O$122)</f><v>42.074973185154214</v></c><c r="K38" s="158"><f>'BAU 2020'!K38*(1-ISEAP!$O$122)</f><v>0</v></c><c r="L38" s="158"><f>'BAU 2020'!L38*(1-ISEAP!$O$122)</f><v>0</v></c><c r="M38" s="68"><f t="shared" si="2"/><v>95.758720034702236</v></c><c r="N38" s="223"><v>0</v></c><c r="O38" s="223"><v>0</v></c><c r="P38" s="223"><v>11.563381068070267</v></c><c r="Q38" s="223"><v>0</v></c><c r="R38" s="223"><v>0</v></c><c r="S38" s="223"><v>3.8544603560234227</v></c><c r="T38" s="68"><f t="shared" si="4"/><v>15.417841424093691</v></c><c r="U38" s="68"><f t="shared" si="5"/><v>318.63558119454183</v></c></row><row r="39" spans="1:21" s="21" customFormat="1" ht="15.75"><c r="A39" s="22"/><c r="B39" s="198" t="str"><f>Translation!A81</f><v>Education</v></c><c r="C39" s="158"><f>'BAU 2020'!C39*(1-ISEAP!$O$122)</f><v>683.30594314947052</v></c><c r="D39" s="158"><f>'BAU 2020'!D39*(1-ISEAP!$O$122)</f><v>0</v></c><c r="E39" s="158"><f>'BAU 2020'!E39*(1-ISEAP!$O$122)</f><v>0</v></c><c r="F39" s="68"><f t="shared" si="0"/><v>683.30594314947052</v></c><c r="G39" s="158"><f>'BAU 2020'!G39*(1-ISEAP!$O$122)</f><v>176.81768341310303</v></c><c r="H39" s="158"><f>'BAU 2020'!H39*(1-ISEAP!$O$122)</f><v>0</v></c><c r="I39" s="158"><f>'BAU 2020'!I39*(1-ISEAP!$O$122)</f><v>0</v></c><c r="J39" s="158"><f>'BAU 2020'!J39*(1-ISEAP!$O$122)</f><v>138.58196800453075</v></c><c r="K39" s="158"><f>'BAU 2020'!K39*(1-ISEAP!$O$122)</f><v>0</v></c><c r="L39" s="158"><f>'BAU 2020'!L39*(1-ISEAP!$O$122)</f><v>0</v></c><c r="M39" s="68"><f t="shared" si="2"/><v>315.39965141763378</v></c><c r="N39" s="223"><v>0</v></c><c r="O39" s="223"><v>0</v></c><c r="P39" s="223"><v>38.086206214504038</v></c><c r="Q39" s="223"><v>0</v></c><c r="R39" s="223"><v>0</v></c><c r="S39" s="223"><v>12.695402071501345</v></c><c r="T39" s="68"><f t="shared" si="4"/><v>50.78160828600538</v></c><c r="U39" s="68"><f t="shared" si="5"/><v>1049.4872028531097</v></c></row><row r="40" spans="1:21" s="21" customFormat="1" ht="15.75"><c r="A40" s="22"/><c r="B40" s="198" t="str"><f>Translation!A82</f><v>Human health and social work activities</v></c><c r="C40" s="158"><f>'BAU 2020'!C40*(1-ISEAP!$O$122)</f><v>355.64403383270729</v></c><c r="D40" s="158"><f>'BAU 2020'!D40*(1-ISEAP!$O$122)</f><v>0</v></c><c r="E40" s="158"><f>'BAU 2020'!E40*(1-ISEAP!$O$122)</f><v>0</v></c><c r="F40" s="68"><f t="shared" si="0"/><v>355.64403383270729</v></c><c r="G40" s="158"><f>'BAU 2020'!G40*(1-ISEAP!$O$122)</f><v>92.02928031351091</v></c><c r="H40" s="158"><f>'BAU 2020'!H40*(1-ISEAP!$O$122)</f><v>0</v></c><c r="I40" s="158"><f>'BAU 2020'!I40*(1-ISEAP!$O$122)</f><v>0</v></c><c r="J40" s="158"><f>'BAU 2020'!J40*(1-ISEAP!$O$122)</f><v>72.128525460264314</v></c><c r="K40" s="158"><f>'BAU 2020'!K40*(1-ISEAP!$O$122)</f><v>0</v></c><c r="L40" s="158"><f>'BAU 2020'!L40*(1-ISEAP!$O$122)</f><v>0</v></c><c r="M40" s="68"><f t="shared" si="2"/><v>164.15780577377524</v></c><c r="N40" s="223"><v>0</v></c><c r="O40" s="223"><v>0</v></c><c r="P40" s="223"><v>19.822938973834749</v></c><c r="Q40" s="223"><v>0</v></c><c r="R40" s="223"><v>0</v></c><c r="S40" s="223"><v>6.607646324611582</v></c><c r="T40" s="68"><f t="shared" si="4"/><v>26.430585298446331</v></c><c r="U40" s="68"><f t="shared" si="5"/><v>546.23242490492885</v></c></row><row r="41" spans="1:21" s="21" customFormat="1" ht="15.75"><c r="A41" s="22"/><c r="B41" s="198" t="str"><f>Translation!A83</f><v>Other services</v></c><c r="C41" s="158"><f>'BAU 2020'!C41*(1-ISEAP!$O$122)</f><v>11065.937524805362</v></c><c r="D41" s="158"><f>'BAU 2020'!D41*(1-ISEAP!$O$122)</f><v>0</v></c><c r="E41" s="158"><f>'BAU 2020'!E41*(1-ISEAP!$O$122)</f><v>0</v></c><c r="F41" s="68"><f t="shared" si="0"/><v>11065.937524805362</v></c><c r="G41" s="158"><f>'BAU 2020'!G41*(1-ISEAP!$O$122)</f><v>2863.5100536542554</v></c><c r="H41" s="158"><f>'BAU 2020'!H41*(1-ISEAP!$O$122)</f><v>0</v></c><c r="I41" s="158"><f>'BAU 2020'!I41*(1-ISEAP!$O$122)</f><v>0</v></c><c r="J41" s="158"><f>'BAU 2020'!J41*(1-ISEAP!$O$122)</f><v>2244.2939584783589</v></c><c r="K41" s="158"><f>'BAU 2020'!K41*(1-ISEAP!$O$122)</f><v>0</v></c><c r="L41" s="158"><f>'BAU 2020'!L41*(1-ISEAP!$O$122)</f><v>0</v></c><c r="M41" s="68"><f t="shared" si="2"/><v>5107.8040121326139</v></c><c r="N41" s="223"><v>0</v></c><c r="O41" s="223"><v>0</v></c><c r="P41" s="223"><v>616.79483802523146</v></c><c r="Q41" s="223"><v>0</v></c><c r="R41" s="223"><v>0</v></c><c r="S41" s="223"><v>205.59827934174379</v></c><c r="T41" s="68"><f t="shared" si="4"/><v>822.39311736697528</v></c><c r="U41" s="68"><f t="shared" si="5"/><v>16996.134654304951</v></c></row><row r="42" spans="1:21" s="21" customFormat="1" ht="15.75"><c r="A42" s="22"/><c r="B42" s="198" t="str"><f>Translation!A84</f><v>Public lighting</v></c><c r="C42" s="158"><f>'BAU 2020'!C42*(1-ISEAP!$O$122)</f><v>2592.7309618568693</v></c><c r="D42" s="158"><f>'BAU 2020'!D42*(1-ISEAP!$O$122)</f><v>0</v></c><c r="E42" s="158"><f>'BAU 2020'!E42*(1-ISEAP!$O$122)</f><v>0</v></c><c r="F42" s="68"><f t="shared" si="0"/><v>2592.7309618568693</v></c><c r="G42" s="158"><f>'BAU 2020'!G42*(1-ISEAP!$O$122)</f><v>0</v></c><c r="H42" s="158"><f>'BAU 2020'!H42*(1-ISEAP!$O$122)</f><v>0</v></c><c r="I42" s="158"><f>'BAU 2020'!I42*(1-ISEAP!$O$122)</f><v>0</v></c><c r="J42" s="158"><f>'BAU 2020'!J42*(1-ISEAP!$O$122)</f><v>0</v></c><c r="K42" s="158"><f>'BAU 2020'!K42*(1-ISEAP!$O$122)</f><v>0</v></c><c r="L42" s="158"><f>'BAU 2020'!L42*(1-ISEAP!$O$122)</f><v>0</v></c><c r="M42" s="68"><f t="shared" si="2"/><v>0</v></c><c r="N42" s="223"><v>0</v></c><c r="O42" s="223"><v>0</v></c><c r="P42" s="223"><v>0</v></c><c r="Q42" s="223"><v>0</v></c><c r="R42" s="223"><v>0</v></c><c r="S42" s="223"><v>0</v></c><c r="T42" s="68"><f t="shared" si="4"/><v>0</v></c><c r="U42" s="68"><f t="shared" si="5"/><v>2592.7309618568693</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97356.322409023065</v></c><c r="I43" s="124"><f t="shared" si="12"/><v>90270.772946075711</v></c><c r="J43" s="124"><f t="shared" si="12"/><v>0</v></c><c r="K43" s="124"><f>SUM(K44:K47)</f><v>0</v></c><c r="L43" s="124"><f t="shared" ref="L43" si="13">SUM(L44:L47)</f><v>0</v></c><c r="M43" s="68"><f t="shared" si="2"/><v>187627.09535509878</v></c><c r="N43" s="124"><f t="shared" ref="N43:S43" si="14">SUM(N44:N47)</f><v>0</v></c><c r="O43" s="124"><f t="shared" si="14"/><v>0</v></c><c r="P43" s="124"><f t="shared" si="14"/><v>0</v></c><c r="Q43" s="124"><f t="shared" si="14"/><v>0</v></c><c r="R43" s="124"><f t="shared" si="14"/><v>0</v></c><c r="S43" s="124"><f t="shared" si="14"/><v>0</v></c><c r="T43" s="68"><f t="shared" si="4"/><v>0</v></c><c r="U43" s="68"><f t="shared" si="5"/><v>187627.09535509878</v></c></row><row r="44" spans="1:21" s="21" customFormat="1" ht="45"><c r="A44" s="22"/><c r="B44" s="198" t="str"><f>Translation!A86</f><v>Passenger road transport and other passenger road transport services (public transports, taxi, tourism, school buses, etc.)</v></c><c r="C44" s="158"/><c r="D44" s="158"/><c r="E44" s="158"/><c r="F44" s="68"><f t="shared" si="0"/><v>0</v></c><c r="G44" s="158"><f>'BAU 2020'!G44*(1-ISEAP!$O$122)</f><v>0</v></c><c r="H44" s="158"><f>'BAU 2020'!H44*(1-ISEAP!$O$122)</f><v>1748.9273379897891</v></c><c r="I44" s="158"><f>'BAU 2020'!I44*(1-ISEAP!$O$122)</f><v>1621.6411910422444</v></c><c r="J44" s="158"><f>'BAU 2020'!J44*(1-ISEAP!$O$122)</f><v>0</v></c><c r="K44" s="158"><f>'BAU 2020'!K44*(1-ISEAP!$O$122)</f><v>0</v></c><c r="L44" s="158"><f>'BAU 2020'!L44*(1-ISEAP!$O$122)</f><v>0</v></c><c r="M44" s="68"><f t="shared" si="2"/><v>3370.5685290320334</v></c><c r="N44" s="158"/><c r="O44" s="158"/><c r="P44" s="158"/><c r="Q44" s="158"/><c r="R44" s="158"/><c r="S44" s="158"><v>0</v></c><c r="T44" s="68"><f t="shared" si="4"/><v>0</v></c><c r="U44" s="68"><f t="shared" si="5"/><v>3370.5685290320334</v></c></row><row r="45" spans="1:21" s="21" customFormat="1" ht="15.75"><c r="A45" s="22"/><c r="B45" s="198" t="str"><f>Translation!A87</f><v>Freight transport by road and removal services</v></c><c r="C45" s="158"/><c r="D45" s="158"/><c r="E45" s="158"/><c r="F45" s="68"><f t="shared" si="0"/><v>0</v></c><c r="G45" s="158"><f>'BAU 2020'!G45*(1-ISEAP!$O$122)</f><v>0</v></c><c r="H45" s="158"><f>'BAU 2020'!H45*(1-ISEAP!$O$122)</f><v>27982.837407836625</v></c><c r="I45" s="158"><f>'BAU 2020'!I45*(1-ISEAP!$O$122)</f><v>25946.25905667591</v></c><c r="J45" s="158"><f>'BAU 2020'!J45*(1-ISEAP!$O$122)</f><v>0</v></c><c r="K45" s="158"><f>'BAU 2020'!K45*(1-ISEAP!$O$122)</f><v>0</v></c><c r="L45" s="158"><f>'BAU 2020'!L45*(1-ISEAP!$O$122)</f><v>0</v></c><c r="M45" s="68"><f t="shared" si="2"/><v>53929.096464512535</v></c><c r="N45" s="158"/><c r="O45" s="158"/><c r="P45" s="158"/><c r="Q45" s="158"/><c r="R45" s="158"/><c r="S45" s="158"/><c r="T45" s="68"><f t="shared" si="4"/><v>0</v></c><c r="U45" s="68"><f t="shared" si="5"/><v>53929.096464512535</v></c></row><row r="46" spans="1:21" s="21" customFormat="1" ht="15.75"><c r="A46" s="22"/><c r="B46" s="198" t="str"><f>Translation!A88</f><v>Other fleet for public and private services</v></c><c r="C46" s="158"/><c r="D46" s="158"/><c r="E46" s="158"/><c r="F46" s="68"><f t="shared" si="0"/><v>0</v></c><c r="G46" s="158"><f>'BAU 2020'!G46*(1-ISEAP!$O$122)</f><v>0</v></c><c r="H46" s="158"><f>'BAU 2020'!H46*(1-ISEAP!$O$122)</f><v>0</v></c><c r="I46" s="158"><f>'BAU 2020'!I46*(1-ISEAP!$O$122)</f><v>0</v></c><c r="J46" s="158"><f>'BAU 2020'!J46*(1-ISEAP!$O$122)</f><v>0</v></c><c r="K46" s="158"><f>'BAU 2020'!K46*(1-ISEAP!$O$122)</f><v>0</v></c><c r="L46" s="158"><f>'BAU 2020'!L46*(1-ISEAP!$O$122)</f><v>0</v></c><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f>'BAU 2020'!G47*(1-ISEAP!$O$122)</f><v>0</v></c><c r="H47" s="158"><f>'BAU 2020'!H47*(1-ISEAP!$O$122)</f><v>67624.557663196654</v></c><c r="I47" s="158"><f>'BAU 2020'!I47*(1-ISEAP!$O$122)</f><v>62702.872698357562</v></c><c r="J47" s="158"><f>'BAU 2020'!J47*(1-ISEAP!$O$122)</f><v>0</v></c><c r="K47" s="158"><f>'BAU 2020'!K47*(1-ISEAP!$O$122)</f><v>0</v></c><c r="L47" s="158"><f>'BAU 2020'!L47*(1-ISEAP!$O$122)</f><v>0</v></c><c r="M47" s="68"><f t="shared" si="2"/><v>130327.43036155422</v></c><c r="N47" s="158"/><c r="O47" s="158"/><c r="P47" s="158"/><c r="Q47" s="158"/><c r="R47" s="158"/><c r="S47" s="158"/><c r="T47" s="68"><f t="shared" si="4"/><v>0</v></c><c r="U47" s="68"><f t="shared" si="5"/><v>130327.43036155422</v></c></row><row r="48" spans="1:21" s="21" customFormat="1" ht="15.75"><c r="A48" s="22"/><c r="B48" s="77" t="str"><f>Translation!A117</f><v>TOTAL FOR INTERNAL MARKET</v></c><c r="C48" s="69"><f>C17+C27+C30+C34+C43</f><v>100830.4641290844</v></c><c r="D48" s="69"><f>D17+D27+D30+D34+D43</f><v>0</v></c><c r="E48" s="69"><f>E17+E27+E30+E34+E43</f><v>0</v></c><c r="F48" s="68"><f t="shared" si="0"/><v>100830.4641290844</v></c><c r="G48" s="69"><f>G17+G27+G30+G34+G43</f><v>32665.298237569281</v></c><c r="H48" s="69"><f t="shared" ref="H48:L48" si="15">H17+H27+H30+H34+H43</f><v>97373.23824163781</v></c><c r="I48" s="69"><f t="shared" si="15"/><v>90270.772946075711</v></c><c r="J48" s="69"><f>J17+J27+J30+J34+J43</f><v>14864.169465179606</v></c><c r="K48" s="69"><f t="shared" si="15"/><v>0</v></c><c r="L48" s="69"><f t="shared" si="15"/><v>0</v></c><c r="M48" s="68"><f>SUM(G48:L48)</f><v>235173.47889046243</v></c><c r="N48" s="69"><f t="shared" ref="N48:S48" si="16">N17+N27+N30+N34+N43</f><v>0</v></c><c r="O48" s="69"><f t="shared" si="16"/><v>298</v></c><c r="P48" s="69"><f t="shared" si="16"/><v>9272.8771343403005</v></c><c r="Q48" s="69"><f t="shared" si="16"/><v>165.70100093173215</v></c><c r="R48" s="69"><f t="shared" si="16"/><v>0</v></c><c r="S48" s="69"><f t="shared" si="16"/><v>6301.6636783378817</v></c><c r="T48" s="68"><f t="shared" si="4"/><v>16038.241813609915</v></c><c r="U48" s="68"><f t="shared" si="5"/><v>352042.1848331567</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4" t="str"><f>Translation!A120</f><v>PRODUCTION SECTOR</v></c><c r="C55" s="276" t="str"><f>Translation!A121</f><v>ENERGY SOURCE</v></c><c r="D55" s="277"/><c r="E55" s="277"/><c r="F55" s="277"/><c r="G55" s="277"/><c r="H55" s="277"/><c r="I55" s="277"/><c r="J55" s="277"/><c r="K55" s="277"/><c r="L55" s="277"/><c r="M55" s="277"/><c r="N55" s="277"/><c r="O55" s="277"/><c r="P55" s="277"/><c r="Q55" s="277"/><c r="R55" s="277"/><c r="S55" s="278"/><c r="T55" s="276" t="str"><f>Translation!A138</f><v>SECONDARY ENERGY CONVERSION</v></c><c r="U55" s="277"/><c r="V55" s="278"/><c r="W55" s="295" t="str"><f>Translation!A129</f><v>ENERGY FLUXES</v></c><c r="X55" s="296"/><c r="Y55" s="296"/><c r="Z55" s="296"/><c r="AA55" s="296"/><c r="AB55" s="297"/><c r="AC55" s="307" t="str"><f>Translation!A118</f><v>TOTAL</v></c><c r="AD55" s="249" t="str"><f>Translation!A137</f><v>Distribution losses and self-consumption</v></c></row><row r="56" spans="2:32" s="55" customFormat="1" ht="18" customHeight="1"><c r="B56" s="275"/><c r="C56" s="311" t="str"><f>Translation!A98</f><v>Fossil fuels</v></c><c r="D56" s="312"/><c r="E56" s="312"/><c r="F56" s="312"/><c r="G56" s="312"/><c r="H56" s="312"/><c r="I56" s="313"/><c r="J56" s="311" t="str"><f>Translation!A106</f><v>Renewable energy sources (from systems connected to public networks)</v></c><c r="K56" s="312"/><c r="L56" s="312"/><c r="M56" s="312"/><c r="N56" s="312"/><c r="O56" s="312"/><c r="P56" s="312"/><c r="Q56" s="312"/><c r="R56" s="313"/><c r="S56" s="249" t="str"><f>Translation!A116</f><v>Subtotal</v></c><c r="T56" s="305" t="str"><f>Translation!A139</f><v>Electricity conversion to cold</v></c><c r="U56" s="305" t="str"><f>Translation!A140</f><v>Heat conversion to cold</v></c><c r="V56" s="249" t="str"><f>Translation!A116</f><v>Subtotal</v></c><c r="W56" s="309" t="str"><f>Translation!A130</f><v>Storage</v></c><c r="X56" s="310"/><c r="Y56" s="308" t="str"><f>Translation!A133</f><v>External connection</v></c><c r="Z56" s="308"/><c r="AA56" s="274" t="str"><f>Translation!A136</f><v>Reexportation and external consumption</v></c><c r="AB56" s="249" t="str"><f>Translation!A116</f><v>Subtotal</v></c><c r="AC56" s="307"/><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306"/><c r="U57" s="306"/><c r="V57" s="249"/><c r="W57" s="117" t="str"><f>Translation!A131</f><v>Input to storage</v></c><c r="X57" s="117" t="str"><f>Translation!A132</f><v>Output from storage</v></c><c r="Y57" s="117" t="str"><f>Translation!A134</f><v>Import to island</v></c><c r="Z57" s="117" t="str"><f>Translation!A135</f><v>Export from island</v></c><c r="AA57" s="275"/><c r="AB57" s="249"/><c r="AC57" s="307"/><c r="AD57" s="249"/></row><row r="58" spans="2:32" s="55" customFormat="1" ht="15.75"><c r="B58" s="199" t="str"><f>Translation!A123</f><v>Electricity</v></c><c r="C58" s="158"><f>'BAU 2020'!C58*(1-ISEAP!$O$122)</f><v>25620.753890705604</v></c><c r="D58" s="158"><f>'BAU 2020'!D58*(1-ISEAP!$O$122)</f><v>1411.8290471449118</v></c><c r="E58" s="164"/><c r="F58" s="164"/><c r="G58" s="158"><f>'BAU 2020'!G58*(1-ISEAP!$O$122)</f><v>73797.881191233886</v></c><c r="H58" s="164"/><c r="I58" s="63"><f>SUM(C58:H58)</f><v>100830.4641290844</v></c><c r="J58" s="164"/><c r="K58" s="164"/><c r="L58" s="164"/><c r="M58" s="164"/><c r="N58" s="164"/><c r="O58" s="164"/><c r="P58" s="164"/><c r="Q58" s="164"/><c r="R58" s="63"><f>SUM(J58:Q58)</f><v>0</v></c><c r="S58" s="63"><f>I58+R58</f><v>100830.4641290844</v></c><c r="T58" s="164"/><c r="U58" s="164"/><c r="V58" s="63"><f>-T58</f><v>0</v></c><c r="W58" s="164"/><c r="X58" s="164"/><c r="Y58" s="164"/><c r="Z58" s="164"/><c r="AA58" s="201"><f>$C$49+$C$50+$C$51</f><v>0</v></c><c r="AB58" s="63"><f>-SUM(W58)+SUM(X58:Y58)-SUM(Z58:AA58)</f><v>0</v></c><c r="AC58" s="68"><f>S58+V58+AB58</f><v>100830.4641290844</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25620.753890705604</v></c><c r="D61" s="57"><f t="shared" si="19"/><v>1411.8290471449118</v></c><c r="E61" s="57"><f t="shared" si="19"/><v>0</v></c><c r="F61" s="57"><f t="shared" si="19"/><v>0</v></c><c r="G61" s="57"><f t="shared" si="19"/><v>73797.881191233886</v></c><c r="H61" s="57"><f t="shared" si="19"/><v>0</v></c><c r="I61" s="57"><f t="shared" si="19"/><v>100830.4641290844</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100830.4641290844</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100830.4641290844</v></c><c r="AD61" s="57"><f t="shared" si="19"/><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4" t="str"><f>Translation!A120</f><v>PRODUCTION SECTOR</v></c><c r="C64" s="302" t="str"><f>Translation!A142</f><v>PRIMARY ENERGY SOURCE</v></c><c r="D64" s="303"/><c r="E64" s="303"/><c r="F64" s="303"/><c r="G64" s="303"/><c r="H64" s="303"/><c r="I64" s="303"/><c r="J64" s="303"/><c r="K64" s="303"/><c r="L64" s="303"/><c r="M64" s="303"/><c r="N64" s="303"/><c r="O64" s="303"/><c r="P64" s="303"/><c r="Q64" s="303"/><c r="R64" s="303"/><c r="S64" s="304"/><c r="T64" s="298" t="str"><f>Translation!A127</f><v>Conversion losses from primary to secondary energy</v></c><c r="U64" s="61"/><c r="V64" s="61"/><c r="W64" s="72"/><c r="X64" s="61"/><c r="Y64" s="61"/><c r="Z64" s="61"/><c r="AA64" s="61"/><c r="AB64" s="61"/><c r="AC64" s="61"/><c r="AD64" s="61"/><c r="AE64" s="61"/></row><row r="65" spans="2:32" s="55" customFormat="1" ht="15" customHeight="1"><c r="B65" s="275"/><c r="C65" s="302" t="str"><f>Translation!A98</f><v>Fossil fuels</v></c><c r="D65" s="303"/><c r="E65" s="303"/><c r="F65" s="303"/><c r="G65" s="303"/><c r="H65" s="303"/><c r="I65" s="304"/><c r="J65" s="302" t="str"><f>Translation!A107</f><v>Renewable energy sources</v></c><c r="K65" s="303"/><c r="L65" s="303"/><c r="M65" s="303"/><c r="N65" s="303"/><c r="O65" s="303"/><c r="P65" s="303"/><c r="Q65" s="303"/><c r="R65" s="304"/><c r="S65" s="301" t="str"><f>Translation!A118</f><v>TOTAL</v></c><c r="T65" s="299"/><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1"/><c r="T66" s="300"/><c r="U66" s="61"/><c r="V66" s="61"/><c r="W66" s="72"/><c r="X66" s="61"/><c r="Y66" s="61"/><c r="Z66" s="61"/><c r="AA66" s="61"/><c r="AB66" s="61"/><c r="AC66" s="61"/><c r="AD66" s="61"/><c r="AE66" s="61"/></row><row r="67" spans="2:32" s="55" customFormat="1" ht="15.75"><c r="B67" s="199" t="str"><f>Translation!A123</f><v>Electricity</v></c><c r="C67" s="158"><f>'BAU 2020'!C67*(1-ISEAP!$O$122)</f><v>73202.153973444598</v></c><c r="D67" s="158"><f>'BAU 2020'!D67*(1-ISEAP!$O$122)</f><v>4554.2872488545545</v></c><c r="E67" s="164"/><c r="F67" s="164"/><c r="G67" s="158"><f>'BAU 2020'!G67*(1-ISEAP!$O$122)</f><v>167722.45725280428</v></c><c r="H67" s="164"/><c r="I67" s="63"><f>SUM(C67:H67)</f><v>245478.89847510343</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245478.89847510343</v></c><c r="T67" s="75"><f>S67-AC58+AB58</f><v>144648.43434601903</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73202.153973444598</v></c><c r="D70" s="57"><f t="shared" si="22"/><v>4554.2872488545545</v></c><c r="E70" s="57"><f t="shared" si="22"/><v>0</v></c><c r="F70" s="57"><f t="shared" si="22"/><v>0</v></c><c r="G70" s="57"><f t="shared" si="22"/><v>167722.45725280428</v></c><c r="H70" s="57"><f t="shared" si="22"/><v>0</v></c><c r="I70" s="57"><f t="shared" si="22"/><v>245478.89847510343</v></c><c r="J70" s="57"><f t="shared" si="22"/><v>0</v></c><c r="K70" s="57"><f t="shared" si="22"/><v>0</v></c><c r="L70" s="57"><f t="shared" si="22"/><v>0</v></c><c r="M70" s="57"><f t="shared" si="22"/><v>0</v></c><c r="N70" s="57"><f t="shared" si="22"/><v>0</v></c><c r="O70" s="57"><f t="shared" si="22"/><v>0</v></c><c r="P70" s="57"><f t="shared" si="22"/><v>0</v></c><c r="Q70" s="57"><f t="shared" si="22"/><v>0</v></c><c r="R70" s="57"><f t="shared" si="22"/><v>0</v></c><c r="S70" s="57"><f t="shared" si="22"/><v>245478.89847510343</v></c><c r="T70" s="75"><f>S70-AC61+AB61</f><v>144648.43434601903</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7" t="str"><f>Translation!A122</f><v>Energy product</v></c><c r="C73" s="276" t="str"><f>Translation!A142</f><v>PRIMARY ENERGY SOURCE</v></c><c r="D73" s="277"/><c r="E73" s="277"/><c r="F73" s="277"/><c r="G73" s="277"/><c r="H73" s="277"/><c r="I73" s="277"/><c r="J73" s="277"/><c r="K73" s="277"/><c r="L73" s="277"/><c r="M73" s="277"/><c r="N73" s="277"/><c r="O73" s="277"/><c r="P73" s="277"/><c r="Q73" s="277"/><c r="R73" s="277"/><c r="S73" s="277"/><c r="T73" s="277"/><c r="U73" s="277"/><c r="V73" s="277"/><c r="W73" s="277"/><c r="X73" s="277"/><c r="Y73" s="278"/></row><row r="74" spans="2:32" s="55" customFormat="1" ht="15" customHeight="1"><c r="B74" s="318"/><c r="C74" s="276" t="str"><f>Translation!A98</f><v>Fossil fuels</v></c><c r="D74" s="277"/><c r="E74" s="277"/><c r="F74" s="277"/><c r="G74" s="277"/><c r="H74" s="277"/><c r="I74" s="278"/><c r="J74" s="276" t="str"><f>Translation!A107</f><v>Renewable energy sources</v></c><c r="K74" s="277"/><c r="L74" s="277"/><c r="M74" s="277"/><c r="N74" s="277"/><c r="O74" s="277"/><c r="P74" s="277"/><c r="Q74" s="277"/><c r="R74" s="278"/><c r="S74" s="295" t="str"><f>Translation!A123</f><v>Electricity</v></c><c r="T74" s="296"/><c r="U74" s="296"/><c r="V74" s="297"/><c r="W74" s="74" t="str"><f>Translation!A124</f><v>Heat</v></c><c r="X74" s="74" t="str"><f>Translation!A125</f><v>Cold</v></c><c r="Y74" s="274" t="str"><f>Translation!A118</f><v>TOTAL</v></c></row><row r="75" spans="2:32" s="55" customFormat="1" ht="46.5" customHeight="1"><c r="B75" s="319"/><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5"/></row><row r="76" spans="2:32" s="55" customFormat="1" ht="15.75"><c r="B76" s="114" t="str"><f>Translation!A118</f><v>TOTAL</v></c><c r="C76" s="201"><f t="shared" ref="C76:H76" si="23">G48+C70</f><v>105867.45221101388</v></c><c r="D76" s="201"><f t="shared" si="23"/><v>101927.52549049236</v></c><c r="E76" s="201"><f t="shared" si="23"/><v>90270.772946075711</v></c><c r="F76" s="201"><f t="shared" si="23"/><v>14864.169465179606</v></c><c r="G76" s="201"><f t="shared" si="23"/><v>167722.45725280428</v></c><c r="H76" s="201"><f t="shared" si="23"/><v>0</v></c><c r="I76" s="57"><f>SUM(C76:H76)</f><v>480652.37736556586</v></c><c r="J76" s="201"><f t="shared" ref="J76:O76" si="24">N48+J70</f><v>0</v></c><c r="K76" s="201"><f t="shared" si="24"/><v>298</v></c><c r="L76" s="201"><f t="shared" si="24"/><v>9272.8771343403005</v></c><c r="M76" s="201"><f t="shared" si="24"/><v>165.70100093173215</v></c><c r="N76" s="201"><f t="shared" si="24"/><v>0</v></c><c r="O76" s="201"><f t="shared" si="24"/><v>6301.6636783378817</v></c><c r="P76" s="201"><f>P70</f><v>0</v></c><c r="Q76" s="201"><f>Q70</f><v>0</v></c><c r="R76" s="57"><f>SUM(J76:Q76)</f><v>16038.241813609915</v></c><c r="S76" s="201"><f>Y61</f><v>0</v></c><c r="T76" s="201"><f>Z61</f><v>0</v></c><c r="U76" s="201"><f>$C$49+$C$50+$C$51</f><v>0</v></c><c r="V76" s="57"><f>S76-T76-U76</f><v>0</v></c><c r="W76" s="201"><f>$D$49+$D$50+$D$51</f><v>0</v></c><c r="X76" s="201"><f>$E$49+$E$50+$E$51</f><v>0</v></c><c r="Y76" s="57"><f>I76+R76+V76-W76-X76</f><v>496690.61917917576</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4" t="str"><f>Translation!A120</f><v>PRODUCTION SECTOR</v></c><c r="C79" s="302" t="str"><f>Translation!A142</f><v>PRIMARY ENERGY SOURCE</v></c><c r="D79" s="303"/><c r="E79" s="303"/><c r="F79" s="303"/><c r="G79" s="303"/><c r="H79" s="303"/><c r="I79" s="303"/><c r="J79" s="303"/><c r="K79" s="303"/><c r="L79" s="303"/><c r="M79" s="303"/><c r="N79" s="303"/><c r="O79" s="303"/><c r="P79" s="303"/><c r="Q79" s="303"/><c r="R79" s="303"/><c r="S79" s="304"/><c r="T79" s="72"/><c r="V79" s="61"/><c r="W79" s="61"/><c r="X79" s="72"/><c r="Y79" s="61"/><c r="Z79" s="61"/><c r="AA79" s="61"/><c r="AB79" s="61"/><c r="AC79" s="61"/><c r="AD79" s="61"/><c r="AE79" s="61"/><c r="AF79" s="61"/></row><row r="80" spans="2:32" s="55" customFormat="1" ht="15" customHeight="1"><c r="B80" s="275"/><c r="C80" s="302" t="str"><f>Translation!A98</f><v>Fossil fuels</v></c><c r="D80" s="303"/><c r="E80" s="303"/><c r="F80" s="303"/><c r="G80" s="303"/><c r="H80" s="303"/><c r="I80" s="304"/><c r="J80" s="302" t="str"><f>Translation!A107</f><v>Renewable energy sources</v></c><c r="K80" s="303"/><c r="L80" s="303"/><c r="M80" s="303"/><c r="N80" s="303"/><c r="O80" s="303"/><c r="P80" s="303"/><c r="Q80" s="303"/><c r="R80" s="304"/><c r="S80" s="301"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1"/><c r="T81" s="72"/><c r="V81" s="61"/><c r="W81" s="61"/><c r="X81" s="72"/><c r="Y81" s="61"/><c r="Z81" s="61"/><c r="AA81" s="61"/><c r="AB81" s="61"/><c r="AC81" s="61"/><c r="AD81" s="61"/><c r="AE81" s="61"/><c r="AF81" s="61"/></row><row r="82" spans="1:32" s="55" customFormat="1" ht="15.75"><c r="B82" s="199" t="str"><f>Translation!A123</f><v>Electricity</v></c><c r="C82" s="203"><f t="shared" ref="C82:P84" si="25">IF(C67&gt;0,C58/C67,"-")</f><v>0.34999999999999992</v></c><c r="D82" s="203"><f t="shared" si="25"/><v>0.31</v></c><c r="E82" s="203" t="str"><f t="shared" si="25"/><v>-</v></c><c r="F82" s="203" t="str"><f t="shared" si="25"/><v>-</v></c><c r="G82" s="203"><f t="shared" si="25"/><v>0.44</v></c><c r="H82" s="203" t="str"><f t="shared" si="25"/><v>-</v></c><c r="I82" s="71"><f t="shared" si="25"/><v>0.41075002680652273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0.41075002680652273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5" t="str"><f>Translation!A56</f><v>DEMAND SECTOR</v></c><c r="C88" s="279" t="str"><f>Translation!A93</f><v>ENERGY FOR FINAL USE</v></c><c r="D88" s="280"/><c r="E88" s="280"/><c r="F88" s="280"/><c r="G88" s="280"/><c r="H88" s="280"/><c r="I88" s="280"/><c r="J88" s="280"/><c r="K88" s="280"/><c r="L88" s="280"/><c r="M88" s="280"/><c r="N88" s="280"/><c r="O88" s="280"/><c r="P88" s="280"/><c r="Q88" s="280"/><c r="R88" s="280"/><c r="S88" s="280"/><c r="T88" s="280"/><c r="U88" s="281"/></row><row r="89" spans="1:32" s="55" customFormat="1" ht="18" customHeight="1"><c r="B89" s="306"/><c r="C89" s="279" t="str"><f>Translation!A94</f><v>Centralized energy services</v></c><c r="D89" s="280"/><c r="E89" s="280"/><c r="F89" s="281"/><c r="G89" s="279" t="str"><f>Translation!A98</f><v>Fossil fuels</v></c><c r="H89" s="280"/><c r="I89" s="280"/><c r="J89" s="280"/><c r="K89" s="280"/><c r="L89" s="280"/><c r="M89" s="281"/><c r="N89" s="279" t="str"><f>Translation!A105</f><v>Renewable energy sources (excluding electricity and heat sold to public networks)</v></c><c r="O89" s="280"/><c r="P89" s="280"/><c r="Q89" s="280"/><c r="R89" s="280"/><c r="S89" s="280"/><c r="T89" s="281"/><c r="U89" s="288"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0"/></row><row r="91" spans="1:32" s="21" customFormat="1" ht="15.75"><c r="A91" s="22"/><c r="B91" s="70" t="str"><f>Translation!A59</f><v>RESIDENTIAL</v></c><c r="C91" s="68"><f>SUM(C92:C100)</f><v>20253.193335919263</v></c><c r="D91" s="68"><f>SUM(D92:D100)</f><v>0</v></c><c r="E91" s="68"><f>SUM(E92:E100)</f><v>0</v></c><c r="F91" s="68"><f t="shared" ref="F91:F122" si="27">SUM(C91:E91)</f><v>20253.193335919263</v></c><c r="G91" s="68"><f t="shared" ref="G91:L91" si="28">SUM(G92:G100)</f><v>4676.7789735440838</v></c><c r="H91" s="68"><f t="shared" si="28"/><v>0</v></c><c r="I91" s="68"><f t="shared" si="28"/><v>0</v></c><c r="J91" s="68"><f t="shared" si="28"/><v>576.08835441987355</v></c><c r="K91" s="68"><f t="shared" si="28"/><v>0</v></c><c r="L91" s="68"><f t="shared" si="28"/><v>0</v></c><c r="M91" s="68"><f t="shared" ref="M91:M122" si="29">SUM(G91:L91)</f><v>5252.867327963957</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25506.060663883218</v></c></row><row r="92" spans="1:32" s="21" customFormat="1" ht="15.75"><c r="A92" s="22"/><c r="B92" s="197" t="str"><f>Translation!A60</f><v>Hot water</v></c><c r="C92" s="200"><f t="shared" ref="C92:C100" si="33">IF(C$48&gt;0, ($S$128+$V$137)/C$48,0)*C18</f><v>607.59580007757756</v></c><c r="D92" s="200"><f t="shared" ref="D92:D100" si="34">IF(D$48&gt;0, ($S$129)/D$48,0)*D18</f><v>0</v></c><c r="E92" s="200"><f t="shared" ref="E92:E100" si="35">IF(E$48&gt;0, ($S$130)/E$48,0)*E18</f><v>0</v></c><c r="F92" s="68"><f t="shared" si="27"/><v>607.59580007757756</v></c><c r="G92" s="200"><f>'CO2 factors'!C$7*G18</f><v>269.38570960648048</v></c><c r="H92" s="200"><f>'CO2 factors'!D$7*H18</f><v>0</v></c><c r="I92" s="200"><f>'CO2 factors'!E$7*I18</f><v>0</v></c><c r="J92" s="200"><f>'CO2 factors'!F$7*J18</f><v>16.552117333731509</v></c><c r="K92" s="200"><f>'CO2 factors'!G$7*K18</f><v>0</v></c><c r="L92" s="200"><f>'CO2 factors'!H$7*L18</f><v>0</v></c><c r="M92" s="68"><f t="shared" si="29"/><v>285.93782694021201</v></c><c r="N92" s="200"><f>'CO2 factors'!J$7*N18</f><v>0</v></c><c r="O92" s="200"><f>'CO2 factors'!K$7*O18</f><v>0</v></c><c r="P92" s="200"><f>'CO2 factors'!L$7*P18</f><v>0</v></c><c r="Q92" s="200"><f>'CO2 factors'!M$7*Q18</f><v>0</v></c><c r="R92" s="200"><f>'CO2 factors'!N$7*R18</f><v>0</v></c><c r="S92" s="200"><f>'CO2 factors'!O$7*S18</f><v>0</v></c><c r="T92" s="68"><f t="shared" si="31"/><v>0</v></c><c r="U92" s="68"><f t="shared" si="32"/><v>893.53362701778951</v></c></row><row r="93" spans="1:32" s="21" customFormat="1" ht="15.75"><c r="A93" s="22"/><c r="B93" s="197" t="str"><f>Translation!A61</f><v>Heating and cooling</v></c><c r="C93" s="200"><f t="shared" si="33"/><v>14582.299201861872</v></c><c r="D93" s="200"><f t="shared" si="34"/><v>0</v></c><c r="E93" s="200"><f t="shared" si="35"/><v>0</v></c><c r="F93" s="68"><f t="shared" si="27"/><v>14582.299201861872</v></c><c r="G93" s="200"><f>'CO2 factors'!C$7*G19</f><v>4407.3932639376035</v></c><c r="H93" s="200"><f>'CO2 factors'!D$7*H19</f><v>0</v></c><c r="I93" s="200"><f>'CO2 factors'!E$7*I19</f><v>0</v></c><c r="J93" s="200"><f>'CO2 factors'!F$7*J19</f><v>446.03600394055445</v></c><c r="K93" s="200"><f>'CO2 factors'!G$7*K19</f><v>0</v></c><c r="L93" s="200"><f>'CO2 factors'!H$7*L19</f><v>0</v></c><c r="M93" s="68"><f t="shared" si="29"/><v>4853.4292678781576</v></c><c r="N93" s="200"><f>'CO2 factors'!J$7*N19</f><v>0</v></c><c r="O93" s="200"><f>'CO2 factors'!K$7*O19</f><v>0</v></c><c r="P93" s="200"><f>'CO2 factors'!L$7*P19</f><v>0</v></c><c r="Q93" s="200"><f>'CO2 factors'!M$7*Q19</f><v>0</v></c><c r="R93" s="200"><f>'CO2 factors'!N$7*R19</f><v>0</v></c><c r="S93" s="200"><f>'CO2 factors'!O$7*S19</f><v>0</v></c><c r="T93" s="68"><f t="shared" si="31"/><v>0</v></c><c r="U93" s="68"><f t="shared" si="32"/><v>19435.728469740028</v></c></row><row r="94" spans="1:32" s="21" customFormat="1" ht="15.75"><c r="A94" s="22"/><c r="B94" s="197" t="str"><f>Translation!A62</f><v>Lighting</v></c><c r="C94" s="200"><f t="shared" si="33"/><v>810.12773343676997</v></c><c r="D94" s="200"><f t="shared" si="34"/><v>0</v></c><c r="E94" s="200"><f t="shared" si="35"/><v>0</v></c><c r="F94" s="68"><f t="shared" si="27"/><v>810.12773343676997</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810.12773343676997</v></c></row><row r="95" spans="1:32" s="21" customFormat="1" ht="15.75"><c r="A95" s="22"/><c r="B95" s="197" t="str"><f>Translation!A63</f><v>Cooking</v></c><c r="C95" s="200"><f t="shared" si="33"/><v>607.59580007757756</v></c><c r="D95" s="200"><f t="shared" si="34"/><v>0</v></c><c r="E95" s="200"><f t="shared" si="35"/><v>0</v></c><c r="F95" s="68"><f t="shared" si="27"/><v>607.59580007757756</v></c><c r="G95" s="200"><f>'CO2 factors'!C$7*G21</f><v>0</v></c><c r="H95" s="200"><f>'CO2 factors'!D$7*H21</f><v>0</v></c><c r="I95" s="200"><f>'CO2 factors'!E$7*I21</f><v>0</v></c><c r="J95" s="200"><f>'CO2 factors'!F$7*J21</f><v>113.50023314558756</v></c><c r="K95" s="200"><f>'CO2 factors'!G$7*K21</f><v>0</v></c><c r="L95" s="200"><f>'CO2 factors'!H$7*L21</f><v>0</v></c><c r="M95" s="68"><f t="shared" si="29"/><v>113.50023314558756</v></c><c r="N95" s="200"><f>'CO2 factors'!J$7*N21</f><v>0</v></c><c r="O95" s="200"><f>'CO2 factors'!K$7*O21</f><v>0</v></c><c r="P95" s="200"><f>'CO2 factors'!L$7*P21</f><v>0</v></c><c r="Q95" s="200"><f>'CO2 factors'!M$7*Q21</f><v>0</v></c><c r="R95" s="200"><f>'CO2 factors'!N$7*R21</f><v>0</v></c><c r="S95" s="200"><f>'CO2 factors'!O$7*S21</f><v>0</v></c><c r="T95" s="68"><f t="shared" si="31"/><v>0</v></c><c r="U95" s="68"><f t="shared" si="32"/><v>721.09603322316514</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3645.5748004654679</v></c><c r="D100" s="200"><f t="shared" si="34"/><v>0</v></c><c r="E100" s="200"><f t="shared" si="35"/><v>0</v></c><c r="F100" s="68"><f t="shared" si="27"/><v>3645.5748004654679</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3645.5748004654679</v></c></row><row r="101" spans="1:21" s="21" customFormat="1" ht="15.75"><c r="A101" s="22"/><c r="B101" s="70" t="str"><f>Translation!A69</f><v>PRIMARY SECTOR</v></c><c r="C101" s="68"><f>SUM(C102:C103)</f><v>1995.4480871916367</v></c><c r="D101" s="68"><f>SUM(D102:D103)</f><v>0</v></c><c r="E101" s="68"><f>SUM(E102:E103)</f><v>0</v></c><c r="F101" s="68"><f t="shared" si="27"/><v>1995.4480871916367</v></c><c r="G101" s="68"><f t="shared" ref="G101:L101" si="36">SUM(G102:G103)</f><v>261.63911375104595</v></c><c r="H101" s="68"><f t="shared" si="36"/><v>4.5165273081369408</v></c><c r="I101" s="68"><f t="shared" si="36"/><v>0</v></c><c r="J101" s="68"><f t="shared" si="36"/><v>176.3968136377911</v></c><c r="K101" s="68"><f t="shared" si="36"/><v>0</v></c><c r="L101" s="68"><f t="shared" si="36"/><v>0</v></c><c r="M101" s="68"><f t="shared" si="29"/><v>442.552454696974</v></c><c r="N101" s="68"><f t="shared" ref="N101:S101" si="37">SUM(N102:N103)</f><v>0</v></c><c r="O101" s="68"><f t="shared" si="37"/><v>0</v></c><c r="P101" s="68"><f t="shared" si="37"/><v>0</v></c><c r="Q101" s="68"><f t="shared" si="37"/><v>0</v></c><c r="R101" s="68"><f t="shared" si="37"/><v>0</v></c><c r="S101" s="68"><f t="shared" si="37"/><v>0</v></c><c r="T101" s="68"><f t="shared" si="31"/><v>0</v></c><c r="U101" s="68"><f t="shared" si="32"/><v>2438.0005418886108</v></c></row><row r="102" spans="1:21" s="21" customFormat="1" ht="15.75"><c r="A102" s="22"/><c r="B102" s="198" t="str"><f>Translation!A70</f><v>Agriculture, forestry and fishing</v></c><c r="C102" s="200"><f>IF(C$48&gt;0, ($S$128+$V$137)/C$48,0)*C28</f><v>1989.3076169902663</v></c><c r="D102" s="200"><f>IF(D$48&gt;0, ($S$129)/D$48,0)*D28</f><v>0</v></c><c r="E102" s="200"><f>IF(E$48&gt;0, ($S$130)/E$48,0)*E28</f><v>0</v></c><c r="F102" s="68"><f t="shared" si="27"/><v>1989.3076169902663</v></c><c r="G102" s="200"><f>'CO2 factors'!C$7*G28</f><v>260.83398772856827</v></c><c r="H102" s="200"><f>'CO2 factors'!D$7*H28</f><v>0</v></c><c r="I102" s="200"><f>'CO2 factors'!E$7*I28</f><v>0</v></c><c r="J102" s="200"><f>'CO2 factors'!F$7*J28</f><v>175.85399852537995</v></c><c r="K102" s="200"><f>'CO2 factors'!G$7*K28</f><v>0</v></c><c r="L102" s="200"><f>'CO2 factors'!H$7*L28</f><v>0</v></c><c r="M102" s="68"><f t="shared" si="29"/><v>436.68798625394822</v></c><c r="N102" s="200"><f>'CO2 factors'!J$7*N28</f><v>0</v></c><c r="O102" s="200"><f>'CO2 factors'!K$7*O28</f><v>0</v></c><c r="P102" s="200"><f>'CO2 factors'!L$7*P28</f><v>0</v></c><c r="Q102" s="200"><f>'CO2 factors'!M$7*Q28</f><v>0</v></c><c r="R102" s="200"><f>'CO2 factors'!N$7*R28</f><v>0</v></c><c r="S102" s="200"><f>'CO2 factors'!O$7*S28</f><v>0</v></c><c r="T102" s="68"><f t="shared" si="31"/><v>0</v></c><c r="U102" s="68"><f t="shared" si="32"/><v>2425.9956032442146</v></c></row><row r="103" spans="1:21" s="21" customFormat="1" ht="15.75"><c r="A103" s="22"/><c r="B103" s="198" t="str"><f>Translation!A71</f><v>Mining and quarrying</v></c><c r="C103" s="200"><f>IF(C$48&gt;0, ($S$128+$V$137)/C$48,0)*C29</f><v>6.1404702013703698</v></c><c r="D103" s="200"><f>IF(D$48&gt;0, ($S$129)/D$48,0)*D29</f><v>0</v></c><c r="E103" s="200"><f>IF(E$48&gt;0, ($S$130)/E$48,0)*E29</f><v>0</v></c><c r="F103" s="68"><f t="shared" si="27"/><v>6.1404702013703698</v></c><c r="G103" s="200"><f>'CO2 factors'!C$7*G29</f><v>0.80512602247765663</v></c><c r="H103" s="200"><f>'CO2 factors'!D$7*H29</f><v>4.5165273081369408</v></c><c r="I103" s="200"><f>'CO2 factors'!E$7*I29</f><v>0</v></c><c r="J103" s="200"><f>'CO2 factors'!F$7*J29</f><v>0.5428151124111481</v></c><c r="K103" s="200"><f>'CO2 factors'!G$7*K29</f><v>0</v></c><c r="L103" s="200"><f>'CO2 factors'!H$7*L29</f><v>0</v></c><c r="M103" s="68"><f t="shared" si="29"/><v>5.8644684430257454</v></c><c r="N103" s="200"><f>'CO2 factors'!J$7*N29</f><v>0</v></c><c r="O103" s="200"><f>'CO2 factors'!K$7*O29</f><v>0</v></c><c r="P103" s="200"><f>'CO2 factors'!L$7*P29</f><v>0</v></c><c r="Q103" s="200"><f>'CO2 factors'!M$7*Q29</f><v>0</v></c><c r="R103" s="200"><f>'CO2 factors'!N$7*R29</f><v>0</v></c><c r="S103" s="200"><f>'CO2 factors'!O$7*S29</f><v>0</v></c><c r="T103" s="68"><f t="shared" si="31"/><v>0</v></c><c r="U103" s="68"><f t="shared" si="32"/><v>12.004938644396116</v></c></row><row r="104" spans="1:21" s="21" customFormat="1" ht="15.75"><c r="A104" s="22"/><c r="B104" s="65" t="str"><f>Translation!A72</f><v>SECONDARY SECTOR</v></c><c r="C104" s="68"><f>SUM(C105:C107)</f><v>19662.510135224973</v></c><c r="D104" s="68"><f>SUM(D105:D107)</f><v>0</v></c><c r="E104" s="68"><f>SUM(E105:E107)</f><v>0</v></c><c r="F104" s="68"><f t="shared" si="27"/><v>19662.510135224973</v></c><c r="G104" s="68"><f t="shared" ref="G104:L104" si="38">SUM(G105:G107)</f><v>2578.1085255600337</v></c><c r="H104" s="68"><f t="shared" si="38"/><v>0</v></c><c r="I104" s="68"><f t="shared" si="38"/><v>0</v></c><c r="J104" s="68"><f t="shared" si="38"/><v>1738.1580399096415</v></c><c r="K104" s="68"><f t="shared" si="38"/><v>0</v></c><c r="L104" s="68"><f t="shared" si="38"/><v>0</v></c><c r="M104" s="68"><f t="shared" si="29"/><v>4316.2665654696757</v></c><c r="N104" s="68"><f t="shared" ref="N104:S104" si="39">SUM(N105:N107)</f><v>0</v></c><c r="O104" s="68"><f t="shared" si="39"/><v>0</v></c><c r="P104" s="68"><f t="shared" si="39"/><v>0</v></c><c r="Q104" s="68"><f t="shared" si="39"/><v>0</v></c><c r="R104" s="68"><f t="shared" si="39"/><v>0</v></c><c r="S104" s="68"><f t="shared" si="39"/><v>0</v></c><c r="T104" s="68"><f t="shared" si="31"/><v>0</v></c><c r="U104" s="68"><f t="shared" si="32"/><v>23978.776700694649</v></c></row><row r="105" spans="1:21" s="21" customFormat="1" ht="15.75"><c r="A105" s="22"/><c r="B105" s="198" t="str"><f>Translation!A73</f><v>Manufacturing</v></c><c r="C105" s="200"><f>IF(C$48&gt;0, ($S$128+$V$137)/C$48,0)*C31</f><v>19465.103930523706</v></c><c r="D105" s="200"><f>IF(D$48&gt;0, ($S$129)/D$48,0)*D31</f><v>0</v></c><c r="E105" s="200"><f>IF(E$48&gt;0, ($S$130)/E$48,0)*E31</f><v>0</v></c><c r="F105" s="68"><f t="shared" si="27"/><v>19465.103930523706</v></c><c r="G105" s="200"><f>'CO2 factors'!C$7*G31</f><v>2552.2250236145201</v></c><c r="H105" s="200"><f>'CO2 factors'!D$7*H31</f><v>0</v></c><c r="I105" s="200"><f>'CO2 factors'!E$7*I31</f><v>0</v></c><c r="J105" s="200"><f>'CO2 factors'!F$7*J31</f><v>1720.7074102865774</v></c><c r="K105" s="200"><f>'CO2 factors'!G$7*K31</f><v>0</v></c><c r="L105" s="200"><f>'CO2 factors'!H$7*L31</f><v>0</v></c><c r="M105" s="68"><f t="shared" si="29"/><v>4272.9324339010973</v></c><c r="N105" s="200"><f>'CO2 factors'!J$7*N31</f><v>0</v></c><c r="O105" s="200"><f>'CO2 factors'!K$7*O31</f><v>0</v></c><c r="P105" s="200"><f>'CO2 factors'!L$7*P31</f><v>0</v></c><c r="Q105" s="200"><f>'CO2 factors'!M$7*Q31</f><v>0</v></c><c r="R105" s="200"><f>'CO2 factors'!N$7*R31</f><v>0</v></c><c r="S105" s="200"><f>'CO2 factors'!O$7*S31</f><v>0</v></c><c r="T105" s="68"><f t="shared" si="31"/><v>0</v></c><c r="U105" s="68"><f t="shared" si="32"/><v>23738.036364424803</v></c></row><row r="106" spans="1:21" s="21" customFormat="1" ht="30"><c r="A106" s="22"/><c r="B106" s="198" t="str"><f>Translation!A74</f><v>Water supply, sewerage, waste management and remediation activities</v></c><c r="C106" s="200"><f>IF(C$48&gt;0, ($S$128+$V$137)/C$48,0)*C32</f><v>19.366098327398856</v></c><c r="D106" s="200"><f>IF(D$48&gt;0, ($S$129)/D$48,0)*D32</f><v>0</v></c><c r="E106" s="200"><f>IF(E$48&gt;0, ($S$130)/E$48,0)*E32</f><v>0</v></c><c r="F106" s="68"><f t="shared" si="27"/><v>19.366098327398856</v></c><c r="G106" s="200"><f>'CO2 factors'!C$7*G32</f><v>2.5392436093526083</v></c><c r="H106" s="200"><f>'CO2 factors'!D$7*H32</f><v>0</v></c><c r="I106" s="200"><f>'CO2 factors'!E$7*I32</f><v>0</v></c><c r="J106" s="200"><f>'CO2 factors'!F$7*J32</f><v>1.7119553545274677</v></c><c r="K106" s="200"><f>'CO2 factors'!G$7*K32</f><v>0</v></c><c r="L106" s="200"><f>'CO2 factors'!H$7*L32</f><v>0</v></c><c r="M106" s="68"><f t="shared" si="29"/><v>4.2511989638800758</v></c><c r="N106" s="200"><f>'CO2 factors'!J$7*N32</f><v>0</v></c><c r="O106" s="200"><f>'CO2 factors'!K$7*O32</f><v>0</v></c><c r="P106" s="200"><f>'CO2 factors'!L$7*P32</f><v>0</v></c><c r="Q106" s="200"><f>'CO2 factors'!M$7*Q32</f><v>0</v></c><c r="R106" s="200"><f>'CO2 factors'!N$7*R32</f><v>0</v></c><c r="S106" s="200"><f>'CO2 factors'!O$7*S32</f><v>0</v></c><c r="T106" s="68"><f t="shared" si="31"/><v>0</v></c><c r="U106" s="68"><f t="shared" si="32"/><v>23.617297291278931</v></c></row><row r="107" spans="1:21" s="21" customFormat="1" ht="15.75"><c r="A107" s="22"/><c r="B107" s="198" t="str"><f>Translation!A75</f><v>Construction</v></c><c r="C107" s="200"><f>IF(C$48&gt;0, ($S$128+$V$137)/C$48,0)*C33</f><v>178.04010637386722</v></c><c r="D107" s="200"><f>IF(D$48&gt;0, ($S$129)/D$48,0)*D33</f><v>0</v></c><c r="E107" s="200"><f>IF(E$48&gt;0, ($S$130)/E$48,0)*E33</f><v>0</v></c><c r="F107" s="68"><f t="shared" si="27"/><v>178.04010637386722</v></c><c r="G107" s="80"><f>'CO2 factors'!C$7*G33</f><v>23.344258336161342</v></c><c r="H107" s="80"><f>'CO2 factors'!D$7*H33</f><v>0</v></c><c r="I107" s="80"><f>'CO2 factors'!E$7*I33</f><v>0</v></c><c r="J107" s="80"><f>'CO2 factors'!F$7*J33</f><v>15.738674268536588</v></c><c r="K107" s="80"><f>'CO2 factors'!G$7*K33</f><v>0</v></c><c r="L107" s="80"><f>'CO2 factors'!H$7*L33</f><v>0</v></c><c r="M107" s="68"><f t="shared" si="29"/><v>39.08293260469793</v></c><c r="N107" s="80"><f>'CO2 factors'!J$7*N33</f><v>0</v></c><c r="O107" s="80"><f>'CO2 factors'!K$7*O33</f><v>0</v></c><c r="P107" s="80"><f>'CO2 factors'!L$7*P33</f><v>0</v></c><c r="Q107" s="80"><f>'CO2 factors'!M$7*Q33</f><v>0</v></c><c r="R107" s="80"><f>'CO2 factors'!N$7*R33</f><v>0</v></c><c r="S107" s="80"><f>'CO2 factors'!O$7*S33</f><v>0</v></c><c r="T107" s="68"><f t="shared" si="31"/><v>0</v></c><c r="U107" s="68"><f t="shared" si="32"/><v>217.12303897856515</v></c></row><row r="108" spans="1:21" s="21" customFormat="1" ht="15.75"><c r="A108" s="22"/><c r="B108" s="65" t="str"><f>Translation!A76</f><v>TERTIARY SECTOR</v></c><c r="C108" s="68"><f>SUM(C109:C116)</f><v>13608.180460765807</v></c><c r="D108" s="68"><f>SUM(D109:D116)</f><v>0</v></c><c r="E108" s="68"><f>SUM(E109:E116)</f><v>0</v></c><c r="F108" s="68"><f t="shared" si="27"/><v>13608.180460765807</v></c><c r="G108" s="68"><f t="shared" ref="G108:L108" si="40">SUM(G109:G116)</f><v>1597.0915954266661</v></c><c r="H108" s="68"><f t="shared" si="40"/><v>0</v></c><c r="I108" s="68"><f t="shared" si="40"/><v>0</v></c><c r="J108" s="68"><f t="shared" si="40"/><v>1076.7574636757986</v></c><c r="K108" s="68"><f t="shared" si="40"/><v>0</v></c><c r="L108" s="68"><f t="shared" si="40"/><v>0</v></c><c r="M108" s="68"><f t="shared" si="29"/><v>2673.8490591024647</v></c><c r="N108" s="68"><f t="shared" ref="N108:S108" si="41">SUM(N109:N116)</f><v>0</v></c><c r="O108" s="68"><f t="shared" si="41"/><v>0</v></c><c r="P108" s="68"><f t="shared" si="41"/><v>0</v></c><c r="Q108" s="68"><f t="shared" si="41"/><v>0</v></c><c r="R108" s="68"><f t="shared" si="41"/><v>0</v></c><c r="S108" s="68"><f t="shared" si="41"/><v>0</v></c><c r="T108" s="68"><f t="shared" si="31"/><v>0</v></c><c r="U108" s="68"><f t="shared" si="32"/><v>16282.029519868272</v></c></row><row r="109" spans="1:21" s="21" customFormat="1" ht="30"><c r="A109" s="22"/><c r="B109" s="198" t="str"><f>Translation!A77</f><v xml:space="preserve">Wholesale and retail trade; repair of motor vehicles and motorcycles </v></c><c r="C109" s="200"><f t="shared" ref="C109:C116" si="42">IF(C$48&gt;0, ($S$128+$V$137)/C$48,0)*C35</f><v>4611.7319001563746</v></c><c r="D109" s="200"><f t="shared" ref="D109:D116" si="43">IF(D$48&gt;0, ($S$129)/D$48,0)*D35</f><v>0</v></c><c r="E109" s="200"><f t="shared" ref="E109:E116" si="44">IF(E$48&gt;0, ($S$130)/E$48,0)*E35</f><v>0</v></c><c r="F109" s="68"><f t="shared" si="27"/><v>4611.7319001563746</v></c><c r="G109" s="200"><f>'CO2 factors'!C$7*G35</f><v>604.68095109029139</v></c><c r="H109" s="200"><f>'CO2 factors'!D$7*H35</f><v>0</v></c><c r="I109" s="200"><f>'CO2 factors'!E$7*I35</f><v>0</v></c><c r="J109" s="200"><f>'CO2 factors'!F$7*J35</f><v>407.67525738253642</v></c><c r="K109" s="200"><f>'CO2 factors'!G$7*K35</f><v>0</v></c><c r="L109" s="200"><f>'CO2 factors'!H$7*L35</f><v>0</v></c><c r="M109" s="68"><f t="shared" si="29"/><v>1012.3562084728278</v></c><c r="N109" s="200"><f>'CO2 factors'!J$7*N35</f><v>0</v></c><c r="O109" s="200"><f>'CO2 factors'!K$7*O35</f><v>0</v></c><c r="P109" s="200"><f>'CO2 factors'!L$7*P35</f><v>0</v></c><c r="Q109" s="200"><f>'CO2 factors'!M$7*Q35</f><v>0</v></c><c r="R109" s="200"><f>'CO2 factors'!N$7*R35</f><v>0</v></c><c r="S109" s="200"><f>'CO2 factors'!O$7*S35</f><v>0</v></c><c r="T109" s="68"><f t="shared" si="31"/><v>0</v></c><c r="U109" s="68"><f t="shared" si="32"/><v>5624.0881086292029</v></c></row><row r="110" spans="1:21" s="21" customFormat="1" ht="15.75"><c r="A110" s="22"/><c r="B110" s="198" t="str"><f>Translation!A78</f><v>Accomodation and food service activities</v></c><c r="C110" s="200"><f t="shared" si="42"/><v>305.91666704572981</v></c><c r="D110" s="200"><f t="shared" si="43"/><v>0</v></c><c r="E110" s="200"><f t="shared" si="44"/><v>0</v></c><c r="F110" s="68"><f t="shared" si="27"/><v>305.91666704572981</v></c><c r="G110" s="200"><f>'CO2 factors'!C$7*G36</f><v>40.111174107348134</v></c><c r="H110" s="200"><f>'CO2 factors'!D$7*H36</f><v>0</v></c><c r="I110" s="200"><f>'CO2 factors'!E$7*I36</f><v>0</v></c><c r="J110" s="200"><f>'CO2 factors'!F$7*J36</f><v>27.042911139575732</v></c><c r="K110" s="200"><f>'CO2 factors'!G$7*K36</f><v>0</v></c><c r="L110" s="200"><f>'CO2 factors'!H$7*L36</f><v>0</v></c><c r="M110" s="68"><f t="shared" si="29"/><v>67.15408524692387</v></c><c r="N110" s="200"><f>'CO2 factors'!J$7*N36</f><v>0</v></c><c r="O110" s="200"><f>'CO2 factors'!K$7*O36</f><v>0</v></c><c r="P110" s="200"><f>'CO2 factors'!L$7*P36</f><v>0</v></c><c r="Q110" s="200"><f>'CO2 factors'!M$7*Q36</f><v>0</v></c><c r="R110" s="200"><f>'CO2 factors'!N$7*R36</f><v>0</v></c><c r="S110" s="200"><f>'CO2 factors'!O$7*S36</f><v>0</v></c><c r="T110" s="68"><f t="shared" si="31"/><v>0</v></c><c r="U110" s="68"><f t="shared" si="32"/><v>373.07075229265365</v></c></row><row r="111" spans="1:21" s="21" customFormat="1" ht="15.75"><c r="A111" s="22"/><c r="B111" s="198" t="str"><f>Translation!A79</f><v>General public administration and social security</v></c><c r="C111" s="200"><f t="shared" si="42"/><v>483.48898527342345</v></c><c r="D111" s="200"><f t="shared" si="43"/><v>0</v></c><c r="E111" s="200"><f t="shared" si="44"/><v>0</v></c><c r="F111" s="68"><f t="shared" si="27"/><v>483.48898527342345</v></c><c r="G111" s="200"><f>'CO2 factors'!C$7*G37</f><v>63.394097008739877</v></c><c r="H111" s="200"><f>'CO2 factors'!D$7*H37</f><v>0</v></c><c r="I111" s="200"><f>'CO2 factors'!E$7*I37</f><v>0</v></c><c r="J111" s="200"><f>'CO2 factors'!F$7*J37</f><v>42.740233122892668</v></c><c r="K111" s="200"><f>'CO2 factors'!G$7*K37</f><v>0</v></c><c r="L111" s="200"><f>'CO2 factors'!H$7*L37</f><v>0</v></c><c r="M111" s="68"><f t="shared" si="29"/><v>106.13433013163254</v></c><c r="N111" s="200"><f>'CO2 factors'!J$7*N37</f><v>0</v></c><c r="O111" s="200"><f>'CO2 factors'!K$7*O37</f><v>0</v></c><c r="P111" s="200"><f>'CO2 factors'!L$7*P37</f><v>0</v></c><c r="Q111" s="200"><f>'CO2 factors'!M$7*Q37</f><v>0</v></c><c r="R111" s="200"><f>'CO2 factors'!N$7*R37</f><v>0</v></c><c r="S111" s="200"><f>'CO2 factors'!O$7*S37</f><v>0</v></c><c r="T111" s="68"><f t="shared" si="31"/><v>0</v></c><c r="U111" s="68"><f t="shared" si="32"/><v>589.62331540505602</v></c></row><row r="112" spans="1:21" s="21" customFormat="1" ht="15.75"><c r="A112" s="22"/><c r="B112" s="198" t="str"><f>Translation!A80</f><v>Defense, justice, police and fire departments</v></c><c r="C112" s="200"><f t="shared" si="42"/><v>114.23121272476519</v></c><c r="D112" s="200"><f t="shared" si="43"/><v>0</v></c><c r="E112" s="200"><f t="shared" si="44"/><v>0</v></c><c r="F112" s="68"><f t="shared" si="27"/><v>114.23121272476519</v></c><c r="G112" s="200"><f>'CO2 factors'!C$7*G38</f><v>14.977765371023901</v></c><c r="H112" s="200"><f>'CO2 factors'!D$7*H38</f><v>0</v></c><c r="I112" s="200"><f>'CO2 factors'!E$7*I38</f><v>0</v></c><c r="J112" s="200"><f>'CO2 factors'!F$7*J38</f><v>10.097993564437012</v></c><c r="K112" s="200"><f>'CO2 factors'!G$7*K38</f><v>0</v></c><c r="L112" s="200"><f>'CO2 factors'!H$7*L38</f><v>0</v></c><c r="M112" s="68"><f t="shared" si="29"/><v>25.075758935460911</v></c><c r="N112" s="200"><f>'CO2 factors'!J$7*N38</f><v>0</v></c><c r="O112" s="200"><f>'CO2 factors'!K$7*O38</f><v>0</v></c><c r="P112" s="200"><f>'CO2 factors'!L$7*P38</f><v>0</v></c><c r="Q112" s="200"><f>'CO2 factors'!M$7*Q38</f><v>0</v></c><c r="R112" s="200"><f>'CO2 factors'!N$7*R38</f><v>0</v></c><c r="S112" s="200"><f>'CO2 factors'!O$7*S38</f><v>0</v></c><c r="T112" s="68"><f t="shared" si="31"/><v>0</v></c><c r="U112" s="68"><f t="shared" si="32"/><v>139.30697166022611</v></c></row><row r="113" spans="1:31" s="21" customFormat="1" ht="15.75"><c r="A113" s="22"/><c r="B113" s="198" t="str"><f>Translation!A81</f><v>Education</v></c><c r="C113" s="200"><f t="shared" si="42"/><v>376.24233763095503</v></c><c r="D113" s="200"><f t="shared" si="43"/><v>0</v></c><c r="E113" s="200"><f t="shared" si="44"/><v>0</v></c><c r="F113" s="68"><f t="shared" si="27"/><v>376.24233763095503</v></c><c r="G113" s="200"><f>'CO2 factors'!C$7*G39</f><v>49.33213367225575</v></c><c r="H113" s="200"><f>'CO2 factors'!D$7*H39</f><v>0</v></c><c r="I113" s="200"><f>'CO2 factors'!E$7*I39</f><v>0</v></c><c r="J113" s="200"><f>'CO2 factors'!F$7*J39</f><v>33.259672321087379</v></c><c r="K113" s="200"><f>'CO2 factors'!G$7*K39</f><v>0</v></c><c r="L113" s="200"><f>'CO2 factors'!H$7*L39</f><v>0</v></c><c r="M113" s="68"><f t="shared" si="29"/><v>82.591805993343129</v></c><c r="N113" s="200"><f>'CO2 factors'!J$7*N39</f><v>0</v></c><c r="O113" s="200"><f>'CO2 factors'!K$7*O39</f><v>0</v></c><c r="P113" s="200"><f>'CO2 factors'!L$7*P39</f><v>0</v></c><c r="Q113" s="200"><f>'CO2 factors'!M$7*Q39</f><v>0</v></c><c r="R113" s="200"><f>'CO2 factors'!N$7*R39</f><v>0</v></c><c r="S113" s="200"><f>'CO2 factors'!O$7*S39</f><v>0</v></c><c r="T113" s="68"><f t="shared" si="31"/><v>0</v></c><c r="U113" s="68"><f t="shared" si="32"/><v>458.83414362429818</v></c></row><row r="114" spans="1:31" s="21" customFormat="1" ht="15.75"><c r="A114" s="22"/><c r="B114" s="198" t="str"><f>Translation!A82</f><v>Human health and social work activities</v></c><c r="C114" s="200"><f t="shared" si="42"/><v>195.82493609959749</v></c><c r="D114" s="200"><f t="shared" si="43"/><v>0</v></c><c r="E114" s="200"><f t="shared" si="44"/><v>0</v></c><c r="F114" s="68"><f t="shared" si="27"/><v>195.82493609959749</v></c><c r="G114" s="200"><f>'CO2 factors'!C$7*G40</f><v>25.676169207469545</v></c><c r="H114" s="200"><f>'CO2 factors'!D$7*H40</f><v>0</v></c><c r="I114" s="200"><f>'CO2 factors'!E$7*I40</f><v>0</v></c><c r="J114" s="200"><f>'CO2 factors'!F$7*J40</f><v>17.310846110463434</v></c><c r="K114" s="200"><f>'CO2 factors'!G$7*K40</f><v>0</v></c><c r="L114" s="200"><f>'CO2 factors'!H$7*L40</f><v>0</v></c><c r="M114" s="68"><f t="shared" si="29"/><v>42.987015317932979</v></c><c r="N114" s="200"><f>'CO2 factors'!J$7*N40</f><v>0</v></c><c r="O114" s="200"><f>'CO2 factors'!K$7*O40</f><v>0</v></c><c r="P114" s="200"><f>'CO2 factors'!L$7*P40</f><v>0</v></c><c r="Q114" s="200"><f>'CO2 factors'!M$7*Q40</f><v>0</v></c><c r="R114" s="200"><f>'CO2 factors'!N$7*R40</f><v>0</v></c><c r="S114" s="200"><f>'CO2 factors'!O$7*S40</f><v>0</v></c><c r="T114" s="68"><f t="shared" si="31"/><v>0</v></c><c r="U114" s="68"><f t="shared" si="32"/><v>238.81195141753048</v></c></row><row r="115" spans="1:31" s="21" customFormat="1" ht="15.75"><c r="A115" s="22"/><c r="B115" s="198" t="str"><f>Translation!A83</f><v>Other services</v></c><c r="C115" s="200"><f t="shared" si="42"/><v>6093.133308954888</v></c><c r="D115" s="200"><f t="shared" si="43"/><v>0</v></c><c r="E115" s="200"><f t="shared" si="44"/><v>0</v></c><c r="F115" s="68"><f t="shared" si="27"/><v>6093.133308954888</v></c><c r="G115" s="200"><f>'CO2 factors'!C$7*G41</f><v>798.91930496953739</v></c><c r="H115" s="200"><f>'CO2 factors'!D$7*H41</f><v>0</v></c><c r="I115" s="200"><f>'CO2 factors'!E$7*I41</f><v>0</v></c><c r="J115" s="200"><f>'CO2 factors'!F$7*J41</f><v>538.63055003480611</v></c><c r="K115" s="200"><f>'CO2 factors'!G$7*K41</f><v>0</v></c><c r="L115" s="200"><f>'CO2 factors'!H$7*L41</f><v>0</v></c><c r="M115" s="68"><f t="shared" si="29"/><v>1337.5498550043435</v></c><c r="N115" s="200"><f>'CO2 factors'!J$7*N41</f><v>0</v></c><c r="O115" s="200"><f>'CO2 factors'!K$7*O41</f><v>0</v></c><c r="P115" s="200"><f>'CO2 factors'!L$7*P41</f><v>0</v></c><c r="Q115" s="200"><f>'CO2 factors'!M$7*Q41</f><v>0</v></c><c r="R115" s="200"><f>'CO2 factors'!N$7*R41</f><v>0</v></c><c r="S115" s="200"><f>'CO2 factors'!O$7*S41</f><v>0</v></c><c r="T115" s="68"><f t="shared" si="31"/><v>0</v></c><c r="U115" s="68"><f t="shared" si="32"/><v>7430.683163959231</v></c></row><row r="116" spans="1:31" s="21" customFormat="1" ht="15.75"><c r="A116" s="22"/><c r="B116" s="198" t="str"><f>Translation!A84</f><v>Public lighting</v></c><c r="C116" s="200"><f t="shared" si="42"/><v>1427.6111128800724</v></c><c r="D116" s="200"><f t="shared" si="43"/><v>0</v></c><c r="E116" s="200"><f t="shared" si="44"/><v>0</v></c><c r="F116" s="68"><f t="shared" si="27"/><v>1427.6111128800724</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1427.6111128800724</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25994.13808320916</v></c><c r="I117" s="68"><f t="shared" si="45"/><v>22477.422463572853</v></c><c r="J117" s="68"><f t="shared" si="45"/><v>0</v></c><c r="K117" s="68"><f t="shared" si="45"/><v>0</v></c><c r="L117" s="68"><f t="shared" si="45"/><v>0</v></c><c r="M117" s="68"><f t="shared" si="29"/><v>48471.560546782013</v></c><c r="N117" s="68"><f t="shared" ref="N117:S117" si="46">SUM(N118:N121)</f><v>0</v></c><c r="O117" s="68"><f t="shared" si="46"/><v>0</v></c><c r="P117" s="68"><f t="shared" si="46"/><v>0</v></c><c r="Q117" s="68"><f t="shared" si="46"/><v>0</v></c><c r="R117" s="68"><f t="shared" si="46"/><v>0</v></c><c r="S117" s="68"><f t="shared" si="46"/><v>0</v></c><c r="T117" s="68"><f t="shared" si="31"/><v>0</v></c><c r="U117" s="68"><f t="shared" si="32"/><v>48471.560546782013</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466.96359924327373</v></c><c r="I118" s="200"><f>'CO2 factors'!E$7*I44</f><v>403.78865656951882</v></c><c r="J118" s="200"><f>'CO2 factors'!F$7*J44</f><v>0</v></c><c r="K118" s="200"><f>'CO2 factors'!G$7*K44</f><v>0</v></c><c r="L118" s="200"><f>'CO2 factors'!H$7*L44</f><v>0</v></c><c r="M118" s="68"><f t="shared" si="29"/><v>870.75225581279255</v></c><c r="N118" s="200"><f>'CO2 factors'!J$7*N44</f><v>0</v></c><c r="O118" s="200"><f>'CO2 factors'!K$7*O44</f><v>0</v></c><c r="P118" s="200"><f>'CO2 factors'!L$7*P44</f><v>0</v></c><c r="Q118" s="200"><f>'CO2 factors'!M$7*Q44</f><v>0</v></c><c r="R118" s="200"><f>'CO2 factors'!N$7*R44</f><v>0</v></c><c r="S118" s="200"><f>'CO2 factors'!O$7*S44</f><v>0</v></c><c r="T118" s="68"><f t="shared" si="31"/><v>0</v></c><c r="U118" s="68"><f t="shared" si="32"/><v>870.75225581279255</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7471.4175878923797</v></c><c r="I119" s="200"><f>'CO2 factors'!E$7*I45</f><v>6460.6185051123011</v></c><c r="J119" s="200"><f>'CO2 factors'!F$7*J45</f><v>0</v></c><c r="K119" s="200"><f>'CO2 factors'!G$7*K45</f><v>0</v></c><c r="L119" s="200"><f>'CO2 factors'!H$7*L45</f><v>0</v></c><c r="M119" s="68"><f t="shared" si="29"/><v>13932.036093004681</v></c><c r="N119" s="200"><f>'CO2 factors'!J$7*N45</f><v>0</v></c><c r="O119" s="200"><f>'CO2 factors'!K$7*O45</f><v>0</v></c><c r="P119" s="200"><f>'CO2 factors'!L$7*P45</f><v>0</v></c><c r="Q119" s="200"><f>'CO2 factors'!M$7*Q45</f><v>0</v></c><c r="R119" s="200"><f>'CO2 factors'!N$7*R45</f><v>0</v></c><c r="S119" s="200"><f>'CO2 factors'!O$7*S45</f><v>0</v></c><c r="T119" s="68"><f t="shared" si="31"/><v>0</v></c><c r="U119" s="68"><f t="shared" si="32"/><v>13932.036093004681</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18055.756896073508</v></c><c r="I121" s="200"><f>'CO2 factors'!E$7*I47</f><v>15613.015301891033</v></c><c r="J121" s="200"><f>'CO2 factors'!F$7*J47</f><v>0</v></c><c r="K121" s="200"><f>'CO2 factors'!G$7*K47</f><v>0</v></c><c r="L121" s="200"><f>'CO2 factors'!H$7*L47</f><v>0</v></c><c r="M121" s="68"><f t="shared" si="29"/><v>33668.772197964543</v></c><c r="N121" s="200"><f>'CO2 factors'!J$7*N47</f><v>0</v></c><c r="O121" s="200"><f>'CO2 factors'!K$7*O47</f><v>0</v></c><c r="P121" s="200"><f>'CO2 factors'!L$7*P47</f><v>0</v></c><c r="Q121" s="200"><f>'CO2 factors'!M$7*Q47</f><v>0</v></c><c r="R121" s="200"><f>'CO2 factors'!N$7*R47</f><v>0</v></c><c r="S121" s="200"><f>'CO2 factors'!O$7*S47</f><v>0</v></c><c r="T121" s="68"><f t="shared" si="31"/><v>0</v></c><c r="U121" s="68"><f t="shared" si="32"/><v>33668.772197964543</v></c></row><row r="122" spans="1:31" s="21" customFormat="1" ht="15.75"><c r="A122" s="22"/><c r="B122" s="77" t="str"><f>Translation!A117</f><v>TOTAL FOR INTERNAL MARKET</v></c><c r="C122" s="69"><f>C91+C101+C104+C108+C117</f><v>55519.332019101676</v></c><c r="D122" s="69"><f>D91+D101+D104+D108+D117</f><v>0</v></c><c r="E122" s="69"><f>E91+E101+E104+E108+E117</f><v>0</v></c><c r="F122" s="68"><f t="shared" si="27"/><v>55519.332019101676</v></c><c r="G122" s="69"><f t="shared" ref="G122:L122" si="47">G91+G101+G104+G108+G117</f><v>9113.6182082818304</v></c><c r="H122" s="69"><f t="shared" si="47"/><v>25998.654610517297</v></c><c r="I122" s="69"><f t="shared" si="47"/><v>22477.422463572853</v></c><c r="J122" s="69"><f t="shared" si="47"/><v>3567.4006716431045</v></c><c r="K122" s="69"><f t="shared" si="47"/><v>0</v></c><c r="L122" s="69"><f t="shared" si="47"/><v>0</v></c><c r="M122" s="68"><f t="shared" si="29"/><v>61157.095954015087</v></c><c r="N122" s="69"><f t="shared" ref="N122:S122" si="48">N91+N101+N104+N108+N117</f><v>0</v></c><c r="O122" s="69"><f t="shared" si="48"/><v>0</v></c><c r="P122" s="69"><f t="shared" si="48"/><v>0</v></c><c r="Q122" s="69"><f t="shared" si="48"/><v>0</v></c><c r="R122" s="69"><f t="shared" si="48"/><v>0</v></c><c r="S122" s="69"><f t="shared" si="48"/><v>0</v></c><c r="T122" s="68"><f t="shared" si="31"/><v>0</v></c><c r="U122" s="68"><f t="shared" si="32"/><v>116676.42797311676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5" t="str"><f>Translation!A120</f><v>PRODUCTION SECTOR</v></c><c r="C125" s="279" t="str"><f>Translation!A142</f><v>PRIMARY ENERGY SOURCE</v></c><c r="D125" s="280"/><c r="E125" s="280"/><c r="F125" s="280"/><c r="G125" s="280"/><c r="H125" s="280"/><c r="I125" s="280"/><c r="J125" s="280"/><c r="K125" s="280"/><c r="L125" s="280"/><c r="M125" s="280"/><c r="N125" s="280"/><c r="O125" s="280"/><c r="P125" s="280"/><c r="Q125" s="280"/><c r="R125" s="280"/><c r="S125" s="281"/><c r="T125" s="64"/><c r="U125" s="282" t="str"><f>Translation!A122</f><v>Energy product</v></c><c r="V125" s="283"/><c r="W125" s="288" t="str"><f>Translation!A149</f><v>CO2 EMISSION FACTORS</v></c><c r="X125" s="61"/><c r="Y125" s="61"/><c r="Z125" s="61"/><c r="AA125" s="61"/><c r="AB125" s="61"/><c r="AC125" s="61"/><c r="AD125" s="61"/><c r="AE125" s="61"/></row><row r="126" spans="1:31" s="55" customFormat="1" ht="15" customHeight="1"><c r="B126" s="306"/><c r="C126" s="279" t="str"><f>Translation!A98</f><v>Fossil fuels</v></c><c r="D126" s="280"/><c r="E126" s="280"/><c r="F126" s="280"/><c r="G126" s="280"/><c r="H126" s="280"/><c r="I126" s="281"/><c r="J126" s="279" t="str"><f>Translation!A107</f><v>Renewable energy sources</v></c><c r="K126" s="280"/><c r="L126" s="280"/><c r="M126" s="280"/><c r="N126" s="280"/><c r="O126" s="280"/><c r="P126" s="280"/><c r="Q126" s="280"/><c r="R126" s="281"/><c r="S126" s="291" t="str"><f>Translation!A118</f><v>TOTAL</v></c><c r="T126" s="64"/><c r="U126" s="284"/><c r="V126" s="285"/><c r="W126" s="28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1"/><c r="T127" s="64"/><c r="U127" s="286"/><c r="V127" s="287"/><c r="W127" s="290"/><c r="X127" s="61"/><c r="Y127" s="61"/><c r="Z127" s="61"/><c r="AA127" s="61"/><c r="AB127" s="61"/><c r="AC127" s="61"/><c r="AD127" s="61"/><c r="AE127" s="61"/></row><row r="128" spans="1:31" s="55" customFormat="1" ht="15.75"><c r="B128" s="199" t="str"><f>Translation!A123</f><v>Electricity</v></c><c r="C128" s="204"><f>'CO2 factors'!C$7*C67</f><v>20423.400958591046</v></c><c r="D128" s="204"><f>'CO2 factors'!D$7*D67</f><v>1215.9946954441662</v></c><c r="E128" s="204"><f>'CO2 factors'!E$7*E67</f><v>0</v></c><c r="F128" s="204"><f>'CO2 factors'!F$7*F67</f><v>0</v></c><c r="G128" s="204"><f>'CO2 factors'!G$7*G67</f><v>33879.936365066467</v></c><c r="H128" s="204"><f>'CO2 factors'!H$7*H67</f><v>0</v></c><c r="I128" s="63"><f>SUM(C128:H128)</f><v>55519.332019101683</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55519.332019101683</v></c><c r="T128" s="62"/><c r="U128" s="293" t="str"><f>Translation!A123</f><v>Electricity</v></c><c r="V128" s="294"/><c r="W128" s="205"><f>IF(S58&gt;0,S128/S58,0)</f><v>0.55062061350848446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2" t="str"><f>Translation!A124</f><v>Heat</v></c><c r="V129" s="292"/><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2" t="str"><f>Translation!A125</f><v>Cold</v></c><c r="V130" s="292"/><c r="W130" s="205"><f>IF(S60&gt;0,S130/S60,0)</f><v>0</v></c><c r="X130" s="61"/><c r="Y130" s="61"/><c r="Z130" s="61"/><c r="AA130" s="61"/><c r="AB130" s="61"/><c r="AC130" s="61"/><c r="AD130" s="61"/><c r="AE130" s="61"/></row><row r="131" spans="1:31" s="55" customFormat="1" ht="15.75"><c r="B131" s="74" t="str"><f>Translation!A118</f><v>TOTAL</v></c><c r="C131" s="57"><f t="shared" ref="C131:S131" si="49">SUM(C128:C130)</f><v>20423.400958591046</v></c><c r="D131" s="57"><f t="shared" si="49"/><v>1215.9946954441662</v></c><c r="E131" s="57"><f t="shared" si="49"/><v>0</v></c><c r="F131" s="57"><f t="shared" si="49"/><v>0</v></c><c r="G131" s="57"><f t="shared" si="49"/><v>33879.936365066467</v></c><c r="H131" s="57"><f t="shared" si="49"/><v>0</v></c><c r="I131" s="57"><f t="shared" si="49"/><v>55519.332019101683</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55519.332019101683</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7" t="str"><f>Translation!A122</f><v>Energy product</v></c><c r="C134" s="276" t="str"><f>Translation!A142</f><v>PRIMARY ENERGY SOURCE</v></c><c r="D134" s="277"/><c r="E134" s="277"/><c r="F134" s="277"/><c r="G134" s="277"/><c r="H134" s="277"/><c r="I134" s="277"/><c r="J134" s="277"/><c r="K134" s="277"/><c r="L134" s="277"/><c r="M134" s="277"/><c r="N134" s="277"/><c r="O134" s="277"/><c r="P134" s="277"/><c r="Q134" s="277"/><c r="R134" s="277"/><c r="S134" s="277"/><c r="T134" s="277"/><c r="U134" s="277"/><c r="V134" s="277"/><c r="W134" s="277"/><c r="X134" s="277"/><c r="Y134" s="278"/><c r="AA134" s="288" t="str"><f>Translation!A150</f><v>CO2 emissions from ETS installations included in the calculations for final use of energy</v></c><c r="AB134" s="288" t="str"><f>Translation!A151</f><v>CO2 emissions from ETS installations included in the calculations for secondary energy production</v></c></row><row r="135" spans="1:31" s="55" customFormat="1" ht="15" customHeight="1"><c r="B135" s="318"/><c r="C135" s="276" t="str"><f>Translation!A98</f><v>Fossil fuels</v></c><c r="D135" s="277"/><c r="E135" s="277"/><c r="F135" s="277"/><c r="G135" s="277"/><c r="H135" s="277"/><c r="I135" s="278"/><c r="J135" s="276" t="str"><f>Translation!A107</f><v>Renewable energy sources</v></c><c r="K135" s="277"/><c r="L135" s="277"/><c r="M135" s="277"/><c r="N135" s="277"/><c r="O135" s="277"/><c r="P135" s="277"/><c r="Q135" s="277"/><c r="R135" s="278"/><c r="S135" s="295" t="str"><f>Translation!A123</f><v>Electricity</v></c><c r="T135" s="296"/><c r="U135" s="296"/><c r="V135" s="297"/><c r="W135" s="115" t="str"><f>Translation!A124</f><v>Heat</v></c><c r="X135" s="115" t="str"><f>Translation!A125</f><v>Cold</v></c><c r="Y135" s="249" t="str"><f>Translation!A118</f><v>TOTAL</v></c><c r="AA135" s="289"/><c r="AB135" s="289"/></row><row r="136" spans="1:31" s="55" customFormat="1" ht="90.75" customHeight="1"><c r="B136" s="319"/><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90"/><c r="AB136" s="290"/></row><row r="137" spans="1:31" s="55" customFormat="1" ht="15.75"><c r="B137" s="114" t="str"><f>Translation!A118</f><v>TOTAL</v></c><c r="C137" s="201"><f>'CO2 factors'!C$7*C76</f><v>29537.019166872877</v></c><c r="D137" s="201"><f>'CO2 factors'!D$7*D76</f><v>27214.649305961462</v></c><c r="E137" s="201"><f>'CO2 factors'!E$7*E76</f><v>22477.422463572853</v></c><c r="F137" s="201"><f>'CO2 factors'!F$7*F76</f><v>3567.4006716431054</v></c><c r="G137" s="201"><f>'CO2 factors'!G$7*G76</f><v>33879.936365066467</v></c><c r="H137" s="201"><f>'CO2 factors'!H$7*H76</f><v>0</v></c><c r="I137" s="57"><f>SUM(C137:H137)</f><v>116676.42797311675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116676.42797311675</v></c><c r="AA137" s="164"/><c r="AB137" s="164"/></row><row r="138" spans="1:31" s="55" customFormat="1" ht="15"><c r="B138" s="56"/></row><row r="139" spans="1:31" ht="15.75" customHeight="1"><c r="A139" s="154"/><c r="B139" s="155"/></row><row r="140" spans="1:31" ht="18.75" customHeight="1"><c r="A140" s="153"/><c r="B140" s="265" t="str"><f>Translation!A155</f><v xml:space="preserve">Go to the next sheet dedicated to your Island Sustainable Energy Action Plan </v></c><c r="C140" s="266"/><c r="D140" s="266"/><c r="E140" s="266"/><c r="F140" s="266"/><c r="G140" s="266"/><c r="H140" s="266"/><c r="I140" s="266"/><c r="J140" s="266"/><c r="K140" s="266"/><c r="L140" s="266"/><c r="M140" s="266"/><c r="N140" s="266"/><c r="O140" s="266"/><c r="P140" s="266"/><c r="Q140" s="266"/><c r="R140" s="266"/><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7"/><c r="D142" s="267"/><c r="E142" s="267"/><c r="F142" s="267"/><c r="G142" s="267"/><c r="H142" s="267"/><c r="I142" s="267"/><c r="J142" s="267"/><c r="K142" s="267"/><c r="L142" s="267"/><c r="M142" s="267"/><c r="N142" s="267"/><c r="O142" s="267"/><c r="P142" s="267"/><c r="Q142" s="267"/><c r="R142" s="267"/><c r="S142" s="267"/><c r="T142" s="267"/><c r="U142" s="267"/></row><row r="143" spans="1:31" ht="12.75" customHeight="1"><c r="B143" s="267"/><c r="C143" s="267"/><c r="D143" s="267"/><c r="E143" s="267"/><c r="F143" s="267"/><c r="G143" s="267"/><c r="H143" s="267"/><c r="I143" s="267"/><c r="J143" s="267"/><c r="K143" s="267"/><c r="L143" s="267"/><c r="M143" s="267"/><c r="N143" s="267"/><c r="O143" s="267"/><c r="P143" s="267"/><c r="Q143" s="267"/><c r="R143" s="267"/><c r="S143" s="267"/><c r="T143" s="267"/><c r="U143" s="267"/></row><row r="144" spans="1:31" ht="12.75" customHeight="1"><c r="B144" s="267"/><c r="C144" s="267"/><c r="D144" s="267"/><c r="E144" s="267"/><c r="F144" s="267"/><c r="G144" s="267"/><c r="H144" s="267"/><c r="I144" s="267"/><c r="J144" s="267"/><c r="K144" s="267"/><c r="L144" s="267"/><c r="M144" s="267"/><c r="N144" s="267"/><c r="O144" s="267"/><c r="P144" s="267"/><c r="Q144" s="267"/><c r="R144" s="267"/><c r="S144" s="267"/><c r="T144" s="267"/><c r="U144" s="267"/></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2"/><sheetViews><sheetView showGridLines="0" showZeros="0" tabSelected="1" topLeftCell="D97" zoomScale="85" zoomScaleNormal="85" workbookViewID_"0"><selection activeCell="M122" sqref="M12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6" t="str"><f>Translation!$A$31</f><v>Island  Sustainable Energy Action Plan (ISEAP)</v></c><c r="B1" s="246"/><c r="C1" s="246"/><c r="D1" s="246"/><c r="E1" s="246"/><c r="F1" s="246"/><c r="G1" s="246"/><c r="H1" s="246"/><c r="I1" s="246"/><c r="J1" s="246"/><c r="K1" s="246"/><c r="L1" s="246"/><c r="M1" s="246"/></row><row r="2" spans="1:13" ht="28.5" customHeight="1"><c r="A2" s="82"/><c r="B2" s="242" t="s"><v>1018</v></c><c r="C2" s="242"/><c r="D2" s="84" t="str"><f>Translation!$A$10</f><v>Island</v></c><c r="E2" s="85" t="str"><f>'Start here'!$B$5</f><v>Cyprus - Aradippou</v></c><c r="F2" s="86"/><c r="G2" s="86"/><c r="H2" s="87"/><c r="I2" s="87"/><c r="J2" s="87"/><c r="K2" s="87"/><c r="L2" s="87"/><c r="M2" s="87"/></row><row r="3" spans="1:13" ht="38.25" customHeight="1"><c r="A3" s="22"/><c r="B3" s="23"/><c r="C3" s="24"/><c r="E3" s="25"/><c r="F3" s="25"/><c r="H3" s="26"/><c r="L3" s="27"/><c r="M3" s="27"/></row><row r="4" spans="1:13" ht="15.75"><c r="A4" s="29"/><c r="B4" s="30"/><c r="L4" s="344" t="str"><f>Translation!$A$53</f><v>Mandatory fields</v></c><c r="M4" s="344"/></row><row r="5" spans="1:13" s="107" customFormat="1" ht="36"><c r="A5" s="118" t="s"><v>0</v></c><c r="B5" s="332" t="str"><f>Translation!A156</f><v>TITLE OF ISLAND SUSTAINABLE ENERGY ACTION PLAN</v></c><c r="C5" s="332"/><c r="D5" s="332"/><c r="E5" s="332"/><c r="F5" s="332"/><c r="G5" s="332"/><c r="H5" s="332"/><c r="I5" s="332"/><c r="J5" s="332"/><c r="K5" s="332"/><c r="L5" s="332"/><c r="M5" s="332"/></row><row r="6" spans="1:13" ht="34.5" customHeight="1"><c r="A6" s="28"/><c r="B6" s="336" t="s"><v>1087</v></c><c r="C6" s="337"/><c r="D6" s="337"/><c r="E6" s="337"/><c r="F6" s="337"/><c r="G6" s="337"/><c r="H6" s="337"/><c r="I6" s="337"/><c r="J6" s="337"/><c r="K6" s="337"/><c r="L6" s="337"/><c r="M6" s="338"/></row><row r="7" spans="1:13" ht="15.75" customHeight="1"><c r="A7" s="29"/><c r="B7" s="30"/></row><row r="8" spans="1:13" ht="21.75" customHeight="1"><c r="A8" s="29"/><c r="E8" s="31"/><c r="F8" s="46" t="str"><f>Translation!A158</f><v>Authority approving the plan</v></c><c r="G8" s="343" t="s"><v>1088</v></c><c r="H8" s="343"/><c r="I8" s="343"/><c r="J8" s="343"/><c r="L8" s="32" t="str"><f>Translation!A157</f><v>Date of formal approval</v></c><c r="M8" s="224"><v>40253</v></c></row><row r="9" spans="1:13" ht="15.75"><c r="A9" s="29"/><c r="B9" s="30"/></row><row r="10" spans="1:13" s="107" customFormat="1" ht="36" customHeight="1"><c r="A10" s="106" t="s"><v>4</v></c><c r="B10" s="331" t="str"><f>Translation!A159</f><v>KEY ELEMENTS OF ISLAND SUSTAINABLE ENERGY ACTION PLAN</v></c><c r="C10" s="331"/><c r="D10" s="331"/><c r="E10" s="331"/><c r="F10" s="331"/><c r="G10" s="331"/><c r="H10" s="331"/><c r="I10" s="331"/><c r="J10" s="331"/><c r="K10" s="331"/><c r="L10" s="331"/><c r="M10" s="331"/></row><row r="11" spans="1:13" s="33" customFormat="1" ht="68.25" customHeight="1"><c r="B11" s="339" t="str"><f>Translation!A160</f><v>SECTORS AND FIELDS OF ACTION</v></c><c r="C11" s="339" t="str"><f>Translation!A161</f><v>ACTIONS
(one line per action - insert lines if necessary; exclude ETS actions)</v></c><c r="D11" s="339" t="str"><f>Translation!A162</f><v>RESPONSIBLE FOR IMPLEMENTATION</v></c><c r="E11" s="341" t="str"><f>Translation!A163</f><v>IMPLEMENTATION SCHEDULE</v></c><c r="F11" s="342"/><c r="G11" s="339" t="str"><f>Translation!A166</f><v>ESTIMATED INVESTMENT COSTS [euro]</v></c><c r="H11" s="339" t="str"><f>Translation!A167</f><v>EXPECTED ENERGY SAVINGS [MWh/year]</v></c><c r="I11" s="339" t="str"><f>Translation!A168</f><v>EXPECTED RENEWABLE ENERGY PRODUCTION [MWh/year]</v></c><c r="J11" s="339" t="str"><f>Translation!A169</f><v>EXPECTED CO2 REDUCTION [ton/year]</v></c><c r="K11" s="339" t="str"><f>Translation!A170</f><v>ENERGY SAVINGS TARGET IN 2020 [MWh/year]</v></c><c r="L11" s="339" t="str"><f>Translation!A171</f><v>RENEWABLE ENERGY PRODUCTION TARGET IN 2020 [MWh/year]</v></c><c r="M11" s="339" t="str"><f>Translation!A172</f><v>CO2 REDUCTION TARGET IN 2020 [ton/year]</v></c></row><row r="12" spans="1:13" s="33" customFormat="1" ht="31.5" customHeight="1"><c r="B12" s="340"/><c r="C12" s="340"/><c r="D12" s="340"/><c r="E12" s="34" t="str"><f>Translation!A164</f><v>Starting year</v></c><c r="F12" s="34" t="str"><f>Translation!A165</f><v>Ending year</v></c><c r="G12" s="340"/><c r="H12" s="340"/><c r="I12" s="340"/><c r="J12" s="340"/><c r="K12" s="340"/><c r="L12" s="340"/><c r="M12" s="340"/></row><row r="13" spans="1:13" s="33" customFormat="1" ht="15"><c r="B13" s="214" t="str"><f>Translation!A59</f><v>RESIDENTIAL</v></c><c r="C13" s="215"/><c r="D13" s="215"/><c r="E13" s="216"/><c r="F13" s="216"/><c r="G13" s="217"/><c r="H13" s="217"/><c r="I13" s="217"/><c r="J13" s="217"/><c r="K13" s="217"/><c r="L13" s="217"/><c r="M13" s="217"/></row><row r="14" spans="1:13" s="33" customFormat="1" ht="30"><c r="B14" s="235" t="s"><v>1038</v></c><c r="C14" s="236" t="s"><v>1030</v></c><c r="D14" s="16" t="s"><v>1037</v></c><c r="E14" s="17"><v>2009</v></c><c r="F14" s="18"><v>2020</v></c><c r="G14" s="19"/><c r="H14" s="19"><v>1480</v></c><c r="I14" s="19"><v>0</v></c><c r="J14" s="19"><v>1049</v></c><c r="K14" s="327"><f>SUM(H14:H23)</f><v>4846</v></c><c r="L14" s="327"><f t="shared" ref="L14:M14" si="0">SUM(I14:I23)</f><v>0</v></c><c r="M14" s="333"><f t="shared" si="0"/><v>3434</v></c></row><row r="15" spans="1:13" s="33" customFormat="1" ht="30"><c r="B15" s="235" t="s"><v>1038</v></c><c r="C15" s="236" t="s"><v>1031</v></c><c r="D15" s="16" t="s"><v>1037</v></c><c r="E15" s="17"><v>2010</v></c><c r="F15" s="18"><v>2020</v></c><c r="G15" s="19"/><c r="H15" s="19"><v>710</v></c><c r="I15" s="19"><v>0</v></c><c r="J15" s="19"><v>504</v></c><c r="K15" s="328"/><c r="L15" s="328"/><c r="M15" s="334"/></row><row r="16" spans="1:13" s="33" customFormat="1" ht="30"><c r="B16" s="235" t="s"><v>1039</v></c><c r="C16" s="236" t="s"><v>1032</v></c><c r="D16" s="16" t="s"><v>1037</v></c><c r="E16" s="17"><v>2009</v></c><c r="F16" s="18"><v>2013</v></c><c r="G16" s="19"/><c r="H16" s="19"><v>249</v></c><c r="I16" s="19"><v>0</v></c><c r="J16" s="19"><v>176</v></c><c r="K16" s="328"/><c r="L16" s="328"/><c r="M16" s="334"/></row><row r="17" spans="2:13" s="33" customFormat="1" ht="30"><c r="B17" s="235" t="s"><v>1039</v></c><c r="C17" s="236" t="s"><v>1033</v></c><c r="D17" s="16" t="s"><v>1037</v></c><c r="E17" s="17"><v>2009</v></c><c r="F17" s="18"><v>2013</v></c><c r="G17" s="19"/><c r="H17" s="19"><v>178</v></c><c r="I17" s="19"><v>0</v></c><c r="J17" s="19"><v>126</v></c><c r="K17" s="328"/><c r="L17" s="328"/><c r="M17" s="334"/></row><row r="18" spans="2:13" s="33" customFormat="1" ht="30"><c r="B18" s="235" t="s"><v>1040</v></c><c r="C18" s="236" t="s"><v>1034</v></c><c r="D18" s="16" t="s"><v>1037</v></c><c r="E18" s="17"><v>2008</v></c><c r="F18" s="18"><v>2020</v></c><c r="G18" s="19"/><c r="H18" s="19"><v>1054</v></c><c r="I18" s="19"><v>0</v></c><c r="J18" s="19"><v>747</v></c><c r="K18" s="328"/><c r="L18" s="328"/><c r="M18" s="334"/></row><row r="19" spans="2:13" s="33" customFormat="1" ht="30"><c r="B19" s="235" t="s"><v>1041</v></c><c r="C19" s="236" t="s"><v>1035</v></c><c r="D19" s="16" t="s"><v>1037</v></c><c r="E19" s="17"><v>2009</v></c><c r="F19" s="18"><v>2013</v></c><c r="G19" s="19"/><c r="H19" s="19"><v>1043</v></c><c r="I19" s="19"/><c r="J19" s="19"><v>739</v></c><c r="K19" s="328"/><c r="L19" s="328"/><c r="M19" s="334"/></row><row r="20" spans="2:13" s="33" customFormat="1" ht="30"><c r="B20" s="235" t="s"><v>1042</v></c><c r="C20" s="236" t="s"><v>1036</v></c><c r="D20" s="16" t="s"><v>1037</v></c><c r="E20" s="17"><v>2011</v></c><c r="F20" s="18"><v>2020</v></c><c r="G20" s="19"/><c r="H20" s="19"><v>132</v></c><c r="I20" s="19"><v>0</v></c><c r="J20" s="19"><v>93</v></c><c r="K20" s="328"/><c r="L20" s="328"/><c r="M20" s="334"/></row><row r="21" spans="2:13" s="33" customFormat="1" ht="15"><c r="B21" s="35"/><c r="C21" s="16"/><c r="D21" s="16"/><c r="E21" s="17"/><c r="F21" s="18"/><c r="G21" s="19"/><c r="H21" s="19"/><c r="I21" s="19"/><c r="J21" s="19"/><c r="K21" s="328"/><c r="L21" s="328"/><c r="M21" s="334"/></row><row r="22" spans="2:13" s="33" customFormat="1" ht="15"><c r="B22" s="35"/><c r="C22" s="16"/><c r="D22" s="16"/><c r="E22" s="17"/><c r="F22" s="18"/><c r="G22" s="19"/><c r="H22" s="19"/><c r="I22" s="19"/><c r="J22" s="19"/><c r="K22" s="328"/><c r="L22" s="328"/><c r="M22" s="334"/></row><row r="23" spans="2:13" s="33" customFormat="1" ht="7.5" customHeight="1"><c r="B23" s="35"/><c r="C23" s="16"/><c r="D23" s="16"/><c r="E23" s="17"/><c r="F23" s="18"/><c r="G23" s="19"/><c r="H23" s="19"/><c r="I23" s="19"/><c r="J23" s="19"/><c r="K23" s="329"/><c r="L23" s="329"/><c r="M23" s="335"/></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7"><f>SUM(H25:H27)</f><v>0</v></c><c r="L25" s="327"><f t="shared" ref="L25:M25" si="1">SUM(I25:I27)</f><v>0</v></c><c r="M25" s="333"><f t="shared" si="1"/><v>0</v></c></row><row r="26" spans="2:13" s="33" customFormat="1" ht="15"><c r="B26" s="35" t="str"><f>Translation!A71</f><v>Mining and quarrying</v></c><c r="C26" s="16"/><c r="D26" s="16"/><c r="E26" s="17"/><c r="F26" s="18"/><c r="G26" s="19"/><c r="H26" s="19"/><c r="I26" s="19"/><c r="J26" s="19"/><c r="K26" s="328"/><c r="L26" s="328"/><c r="M26" s="334"/></row><row r="27" spans="2:13" s="33" customFormat="1" ht="7.5" customHeight="1"><c r="B27" s="35"/><c r="C27" s="16"/><c r="D27" s="16"/><c r="E27" s="17"/><c r="F27" s="18"/><c r="G27" s="19"/><c r="H27" s="19"/><c r="I27" s="19"/><c r="J27" s="19"/><c r="K27" s="329"/><c r="L27" s="329"/><c r="M27" s="335"/></row><row r="28" spans="2:13" s="33" customFormat="1" ht="15"><c r="B28" s="214" t="str"><f>Translation!A72</f><v>SECONDARY SECTOR</v></c><c r="C28" s="215"/><c r="D28" s="215"/><c r="E28" s="216"/><c r="F28" s="216"/><c r="G28" s="217"/><c r="H28" s="217"/><c r="I28" s="217"/><c r="J28" s="217"/><c r="K28" s="217"/><c r="L28" s="217"/><c r="M28" s="217"/></row><row r="29" spans="2:13" s="33" customFormat="1" ht="30"><c r="B29" s="235" t="s"><v>1038</v></c><c r="C29" s="16" t="s"><v>1030</v></c><c r="D29" s="16" t="s"><v>1037</v></c><c r="E29" s="17"><v>2009</v></c><c r="F29" s="18"><v>2020</v></c><c r="G29" s="19"/><c r="H29" s="19"><v>1048</v></c><c r="I29" s="19"><v>0</v></c><c r="J29" s="19"><v>765</v></c><c r="K29" s="327"><f>SUM(H29:H39)</f><v>7617</v></c><c r="L29" s="327"><f t="shared" ref="L29:M29" si="2">SUM(I29:I39)</f><v>3870</v></c><c r="M29" s="333"><f t="shared" si="2"/><v>5556</v></c></row><row r="30" spans="2:13" s="33" customFormat="1" ht="30"><c r="B30" s="235" t="s"><v>1038</v></c><c r="C30" s="16" t="s"><v>1031</v></c><c r="D30" s="16" t="s"><v>1037</v></c><c r="E30" s="17"><v>2010</v></c><c r="F30" s="18"><v>2020</v></c><c r="G30" s="19"/><c r="H30" s="19"><v>503</v></c><c r="I30" s="19"><v>0</v></c><c r="J30" s="19"><v>367</v></c><c r="K30" s="328"/><c r="L30" s="328"/><c r="M30" s="334"/></row><row r="31" spans="2:13" s="33" customFormat="1" ht="15"><c r="B31" s="235" t="s"><v>1039</v></c><c r="C31" s="16" t="s"><v>1043</v></c><c r="D31" s="16" t="s"><v>1037</v></c><c r="E31" s="17"><v>2009</v></c><c r="F31" s="18"><v>2013</v></c><c r="G31" s="19"/><c r="H31" s="19"><v>176</v></c><c r="I31" s="19"><v>0</v></c><c r="J31" s="19"><v>128</v></c><c r="K31" s="328"/><c r="L31" s="328"/><c r="M31" s="334"/></row><row r="32" spans="2:13" s="33" customFormat="1" ht="30"><c r="B32" s="235" t="s"><v>1048</v></c><c r="C32" s="16" t="s"><v>1033</v></c><c r="D32" s="16" t="s"><v>1037</v></c><c r="E32" s="17"><v>2009</v></c><c r="F32" s="18"><v>2013</v></c><c r="G32" s="19"/><c r="H32" s="19"><v>126</v></c><c r="I32" s="19"><v>0</v></c><c r="J32" s="19"><v>92</v></c><c r="K32" s="328"/><c r="L32" s="328"/><c r="M32" s="334"/></row><row r="33" spans="2:13" s="33" customFormat="1" ht="30"><c r="B33" s="235" t="s"><v>1040</v></c><c r="C33" s="16" t="s"><v>1034</v></c><c r="D33" s="16" t="s"><v>1037</v></c><c r="E33" s="17"><v>2008</v></c><c r="F33" s="18"><v>2020</v></c><c r="G33" s="19"/><c r="H33" s="19"><v>1090</v></c><c r="I33" s="19"><v>0</v></c><c r="J33" s="19"><v>795</v></c><c r="K33" s="328"/><c r="L33" s="328"/><c r="M33" s="334"/></row><row r="34" spans="2:13" s="33" customFormat="1" ht="30"><c r="B34" s="235" t="s"><v>1041</v></c><c r="C34" s="16" t="s"><v>1035</v></c><c r="D34" s="16" t="s"><v>1037</v></c><c r="E34" s="17"><v>2009</v></c><c r="F34" s="18"><v>2013</v></c><c r="G34" s="19"/><c r="H34" s="19"><v>1738</v></c><c r="I34" s="19"><v>3870</v></c><c r="J34" s="19"><v>1267</v></c><c r="K34" s="328"/><c r="L34" s="328"/><c r="M34" s="334"/></row><row r="35" spans="2:13" s="33" customFormat="1" ht="30"><c r="B35" s="235" t="s"><v>1049</v></c><c r="C35" s="16" t="s"><v>1036</v></c><c r="D35" s="16" t="s"><v>1037</v></c><c r="E35" s="17"><v>2011</v></c><c r="F35" s="18"><v>2020</v></c><c r="G35" s="19"/><c r="H35" s="19"><v>127</v></c><c r="I35" s="19"><v>0</v></c><c r="J35" s="19"><v>93</v></c><c r="K35" s="328"/><c r="L35" s="328"/><c r="M35" s="334"/></row><row r="36" spans="2:13" s="33" customFormat="1" ht="30"><c r="B36" s="235" t="s"><v>1038</v></c><c r="C36" s="16" t="s"><v>1044</v></c><c r="D36" s="16" t="s"><v>1037</v></c><c r="E36" s="17"><v>2010</v></c><c r="F36" s="18"><v>2020</v></c><c r="G36" s="19"/><c r="H36" s="19"><v>419</v></c><c r="I36" s="19"><v>0</v></c><c r="J36" s="19"><v>306</v></c><c r="K36" s="328"/><c r="L36" s="328"/><c r="M36" s="334"/></row><row r="37" spans="2:13" s="33" customFormat="1" ht="15"><c r="B37" s="235" t="s"><v>1046</v></c><c r="C37" s="16" t="s"><v>1045</v></c><c r="D37" s="16" t="s"><v>1037</v></c><c r="E37" s="17"><v>2009</v></c><c r="F37" s="18"><v>2013</v></c><c r="G37" s="19"/><c r="H37" s="19"><v>2390</v></c><c r="I37" s="19"><v>0</v></c><c r="J37" s="19"><v>1743</v></c><c r="K37" s="328"/><c r="L37" s="328"/><c r="M37" s="334"/></row><row r="38" spans="2:13" s="33" customFormat="1" ht="15"><c r="B38" s="35"/><c r="C38" s="16"/><c r="D38" s="16"/><c r="E38" s="17"/><c r="F38" s="18"/><c r="G38" s="19"/><c r="H38" s="19"/><c r="I38" s="19"/><c r="J38" s="19"/><c r="K38" s="328"/><c r="L38" s="328"/><c r="M38" s="334"/></row><row r="39" spans="2:13" s="33" customFormat="1" ht="7.5" customHeight="1"><c r="B39" s="35"/><c r="C39" s="16"/><c r="D39" s="16"/><c r="E39" s="17"/><c r="F39" s="18"/><c r="G39" s="19"/><c r="H39" s="19"/><c r="I39" s="19"/><c r="J39" s="19"/><c r="K39" s="329"/><c r="L39" s="329"/><c r="M39" s="335"/></row><row r="40" spans="2:13" s="33" customFormat="1" ht="15"><c r="B40" s="214" t="str"><f>Translation!A76</f><v>TERTIARY SECTOR</v></c><c r="C40" s="215"/><c r="D40" s="215"/><c r="E40" s="216"/><c r="F40" s="216"/><c r="G40" s="217"/><c r="H40" s="217"/><c r="I40" s="217"/><c r="J40" s="217"/><c r="K40" s="217"/><c r="L40" s="217"/><c r="M40" s="217"/></row><row r="41" spans="2:13" s="33" customFormat="1" ht="30"><c r="B41" s="235" t="s"><v>1038</v></c><c r="C41" s="16" t="s"><v>1030</v></c><c r="D41" s="16" t="s"><v>1037</v></c><c r="E41" s="17"><v>2009</v></c><c r="F41" s="18"><v>2020</v></c><c r="G41" s="19"/><c r="H41" s="19"><v>660</v></c><c r="I41" s="19"><v>0</v></c><c r="J41" s="19"><v>486</v></c><c r="K41" s="327"><f>SUM(H41:H51)</f><v>3600</v></c><c r="L41" s="327"><f t="shared" ref="L41:M41" si="3">SUM(I41:I51)</f><v>0</v></c><c r="M41" s="333"><f t="shared" si="3"/><v>2678.7759999999998</v></c></row><row r="42" spans="2:13" s="33" customFormat="1" ht="30"><c r="B42" s="235" t="s"><v>1038</v></c><c r="C42" s="16" t="s"><v>1047</v></c><c r="D42" s="16" t="s"><v>1037</v></c><c r="E42" s="17"><v>2010</v></c><c r="F42" s="18"><v>2020</v></c><c r="G42" s="19"/><c r="H42" s="19"><v>317</v></c><c r="I42" s="19"><v>0</v></c><c r="J42" s="19"><v>233</v></c><c r="K42" s="328"/><c r="L42" s="328"/><c r="M42" s="334"/></row><row r="43" spans="2:13" s="33" customFormat="1" ht="15"><c r="B43" s="235" t="s"><v>1039</v></c><c r="C43" s="16" t="s"><v>1043</v></c><c r="D43" s="16" t="s"><v>1037</v></c><c r="E43" s="17"><v>2009</v></c><c r="F43" s="18"><v>2013</v></c><c r="G43" s="19"/><c r="H43" s="19"><v>111</v></c><c r="I43" s="19"><v>0</v></c><c r="J43" s="19"><v>82</v></c><c r="K43" s="328"/><c r="L43" s="328"/><c r="M43" s="334"/></row><row r="44" spans="2:13" s="33" customFormat="1" ht="30"><c r="B44" s="235" t="s"><v>1048</v></c><c r="C44" s="16" t="s"><v>1033</v></c><c r="D44" s="16" t="s"><v>1037</v></c><c r="E44" s="17"><v>2009</v></c><c r="F44" s="18"><v>2013</v></c><c r="G44" s="19"/><c r="H44" s="19"><v>79</v></c><c r="I44" s="19"><v>0</v></c><c r="J44" s="19"><v>58</v></c><c r="K44" s="328"/><c r="L44" s="328"/><c r="M44" s="334"/></row><row r="45" spans="2:13" s="33" customFormat="1" ht="30"><c r="B45" s="235" t="s"><v>1040</v></c><c r="C45" s="16" t="s"><v>1034</v></c><c r="D45" s="16" t="s"><v>1037</v></c><c r="E45" s="17"><v>2008</v></c><c r="F45" s="18"><v>2020</v></c><c r="G45" s="19"/><c r="H45" s="19"><v>610</v></c><c r="I45" s="19"><v>0</v></c><c r="J45" s="19"><v>448</v></c><c r="K45" s="328"/><c r="L45" s="328"/><c r="M45" s="334"/></row><row r="46" spans="2:13" s="33" customFormat="1" ht="30"><c r="B46" s="235" t="s"><v>1041</v></c><c r="C46" s="16" t="s"><v>1035</v></c><c r="D46" s="16" t="s"><v>1037</v></c><c r="E46" s="17"><v>2009</v></c><c r="F46" s="18"><v>2013</v></c><c r="G46" s="19"/><c r="H46" s="19"><v>869</v></c><c r="I46" s="19"/><c r="J46" s="19"><v>639</v></c><c r="K46" s="328"/><c r="L46" s="328"/><c r="M46" s="334"/></row><row r="47" spans="2:13" s="33" customFormat="1" ht="30"><c r="B47" s="235" t="s"><v>1049</v></c><c r="C47" s="16" t="s"><v>1036</v></c><c r="D47" s="16" t="s"><v>1037</v></c><c r="E47" s="17"><v>2011</v></c><c r="F47" s="18"><v>2020</v></c><c r="G47" s="19"/><c r="H47" s="19"><v>70</v></c><c r="I47" s="19"><v>0</v></c><c r="J47" s="19"><v>51</v></c><c r="K47" s="328"/><c r="L47" s="328"/><c r="M47" s="334"/></row><row r="48" spans="2:13" s="33" customFormat="1" ht="30"><c r="B48" s="235" t="s"><v>1038</v></c><c r="C48" s="16" t="s"><v>1044</v></c><c r="D48" s="16" t="s"><v>1037</v></c><c r="E48" s="17"><v>2010</v></c><c r="F48" s="18"><v>2020</v></c><c r="G48" s="19"/><c r="H48" s="19"><v>660</v></c><c r="I48" s="19"><v>0</v></c><c r="J48" s="19"><v>486</v></c><c r="K48" s="328"/><c r="L48" s="328"/><c r="M48" s="334"/></row><row r="49" spans="2:13" s="33" customFormat="1" ht="45"><c r="B49" s="235" t="s"><v>1050</v></c><c r="C49" s="236" t="s"><v>1104</v></c><c r="D49" s="236" t="s"><v>1089</v></c><c r="E49" s="237"><v>2013</v></c><c r="F49" s="238"><v>2014</v></c><c r="G49" s="239"><v>100000</v></c><c r="H49" s="239"><v>192</v></c><c r="I49" s="239"/><c r="J49" s="239"><v>167.80799999999999</v></c><c r="K49" s="328"/><c r="L49" s="328"/><c r="M49" s="334"/></row><row r="50" spans="2:13" s="33" customFormat="1" ht="45"><c r="B50" s="235" t="s"><v>1050</v></c><c r="C50" s="236" t="s"><v>1051</v></c><c r="D50" s="236" t="s"><v>1089</v></c><c r="E50" s="237"><v>2013</v></c><c r="F50" s="238"><v>2014</v></c><c r="G50" s="239"><v>5000</v></c><c r="H50" s="239"><v>32</v></c><c r="I50" s="239"/><c r="J50" s="239"><v>27.968</v></c><c r="K50" s="328"/><c r="L50" s="328"/><c r="M50" s="334"/></row><row r="51" spans="2:13" s="33" customFormat="1" ht="7.5" customHeight="1"><c r="B51" s="35"/><c r="C51" s="16"/><c r="D51" s="16"/><c r="E51" s="17"/><c r="F51" s="18"/><c r="G51" s="19"/><c r="H51" s="19"/><c r="I51" s="19"/><c r="J51" s="19"/><c r="K51" s="329"/><c r="L51" s="329"/><c r="M51" s="335"/></row><row r="52" spans="2:13" s="33" customFormat="1" ht="15"><c r="B52" s="214" t="str"><f>Translation!A85</f><v>TRANSPORTS</v></c><c r="C52" s="215"/><c r="D52" s="215"/><c r="E52" s="216"/><c r="F52" s="216"/><c r="G52" s="217"/><c r="H52" s="217"/><c r="I52" s="217"/><c r="J52" s="217"/><c r="K52" s="217"/><c r="L52" s="217"/><c r="M52" s="217"/></row><row r="53" spans="2:13" s="33" customFormat="1" ht="45"><c r="B53" s="235" t="s"><v>1061</v></c><c r="C53" s="16" t="s"><v>1052</v></c><c r="D53" s="16" t="s"><v>1058</v></c><c r="E53" s="17"><v>2010</v></c><c r="F53" s="18"><v>2015</v></c><c r="G53" s="19"/><c r="H53" s="19"><v>29782</v></c><c r="I53" s="19"/><c r="J53" s="19"><v>7523</v></c><c r="K53" s="327"><f>SUM(H53:H63)</f><v>64014.63</v></c><c r="L53" s="327"><f>SUM(I53:I63)</f><v>0</v></c><c r="M53" s="333"><f>SUM(J53:J63)</f><v>16138.256000000001</v></c></row><row r="54" spans="2:13" s="33" customFormat="1" ht="45"><c r="B54" s="235" t="s"><v>1060</v></c><c r="C54" s="16" t="s"><v>1053</v></c><c r="D54" s="16" t="s"><v>1058</v></c><c r="E54" s="17"><v>2008</v></c><c r="F54" s="18"><v>2020</v></c><c r="G54" s="19"/><c r="H54" s="19"><v>19596</v></c><c r="I54" s="19"/><c r="J54" s="19"><v>4950</v></c><c r="K54" s="328"/><c r="L54" s="328"/><c r="M54" s="334"/></row><row r="55" spans="2:13" s="33" customFormat="1" ht="45"><c r="B55" s="235" t="s"><v>1060</v></c><c r="C55" s="16" t="s"><v>1054</v></c><c r="D55" s="16" t="s"><v>1058</v></c><c r="E55" s="17"><v>2008</v></c><c r="F55" s="18"><v>2013</v></c><c r="G55" s="19"/><c r="H55" s="19"><v>4703</v></c><c r="I55" s="19"/><c r="J55" s="19"><v>1188</v></c><c r="K55" s="328"/><c r="L55" s="328"/><c r="M55" s="334"/></row><row r="56" spans="2:13" s="33" customFormat="1" ht="15"><c r="B56" s="235" t="s"><v>1060</v></c><c r="C56" s="16" t="s"><v>1055</v></c><c r="D56" s="16" t="s"><v>1037</v></c><c r="E56" s="17"><v>2009</v></c><c r="F56" s="18"><v>2012</v></c><c r="G56" s="19"/><c r="H56" s="19"><v>2508</v></c><c r="I56" s="19"/><c r="J56" s="19"><v>634</v></c><c r="K56" s="328"/><c r="L56" s="328"/><c r="M56" s="334"/></row><row r="57" spans="2:13" s="33" customFormat="1" ht="45"><c r="B57" s="235" t="s"><v>1060</v></c><c r="C57" s="16" t="s"><v>1056</v></c><c r="D57" s="16" t="s"><v>1058</v></c><c r="E57" s="17"><v>2008</v></c><c r="F57" s="18"><v>2020</v></c><c r="G57" s="19"/><c r="H57" s="19"><v>3135</v></c><c r="I57" s="19"/><c r="J57" s="19"><v>792</v></c><c r="K57" s="328"/><c r="L57" s="328"/><c r="M57" s="334"/></row><row r="58" spans="2:13" s="33" customFormat="1" ht="30"><c r="B58" s="235" t="s"><v>1060</v></c><c r="C58" s="236" t="s"><v>1101</v></c><c r="D58" s="236" t="s"><v>1102</v></c><c r="E58" s="237"><v>2014</v></c><c r="F58" s="238"><v>2020</v></c><c r="G58" s="239"><v>30000</v></c><c r="H58" s="239"><v>657</v></c><c r="I58" s="239"/><c r="J58" s="239"><v>165.958</v></c><c r="K58" s="328"/><c r="L58" s="328"/><c r="M58" s="334"/></row><row r="59" spans="2:13" s="33" customFormat="1" ht="15"><c r="B59" s="235" t="s"><v>1060</v></c><c r="C59" s="236" t="s"><v>1103</v></c><c r="D59" s="236" t="s"><v>1090</v></c><c r="E59" s="237"><v>2014</v></c><c r="F59" s="238"><v>2020</v></c><c r="G59" s="239"><v>100000</v></c><c r="H59" s="239"><v>2000</v></c><c r="I59" s="239"/><c r="J59" s="239"><v>472</v></c><c r="K59" s="328"/><c r="L59" s="328"/><c r="M59" s="334"/></row><row r="60" spans="2:13" s="33" customFormat="1" ht="15"><c r="B60" s="235" t="s"><v>1060</v></c><c r="C60" s="236" t="s"><v>1099</v></c><c r="D60" s="236" t="s"><v>1090</v></c><c r="E60" s="237"><v>2011</v></c><c r="F60" s="238"><v>2015</v></c><c r="G60" s="239"><v>15000</v></c><c r="H60" s="239"><v>1022</v></c><c r="I60" s="239"/><c r="J60" s="239"><v>258.56599999999997</v></c><c r="K60" s="328"/><c r="L60" s="328"/><c r="M60" s="334"/></row><row r="61" spans="2:13" s="33" customFormat="1" ht="15"><c r="B61" s="235" t="s"><v>1060</v></c><c r="C61" s="236" t="s"><v>1057</v></c><c r="D61" s="236" t="s"><v>1090</v></c><c r="E61" s="237"><v>2011</v></c><c r="F61" s="238"><v>2015</v></c><c r="G61" s="239"><v>2000</v></c><c r="H61" s="239"><v>584</v></c><c r="I61" s="239"/><c r="J61" s="239"><v>147.75200000000001</v></c><c r="K61" s="328"/><c r="L61" s="328"/><c r="M61" s="334"/></row><row r="62" spans="2:13" s="33" customFormat="1" ht="30"><c r="B62" s="235" t="s"><v>1059</v></c><c r="C62" s="236" t="s"><v>1100</v></c><c r="D62" s="236" t="s"><v>1090</v></c><c r="E62" s="237"><v>2016</v></c><c r="F62" s="238"><v>2020</v></c><c r="G62" s="239"><v>45000</v></c><c r="H62" s="239"><v>27.63</v></c><c r="I62" s="239"/><c r="J62" s="239"><v>6.98</v></c><c r="K62" s="328"/><c r="L62" s="328"/><c r="M62" s="334"/></row><row r="63" spans="2:13" s="33" customFormat="1" ht="7.5" customHeight="1"><c r="B63" s="35"/><c r="C63" s="16"/><c r="D63" s="16"/><c r="E63" s="17"/><c r="F63" s="18"/><c r="G63" s="19"/><c r="H63" s="19"/><c r="I63" s="19"/><c r="J63" s="19"/><c r="K63" s="329"/><c r="L63" s="329"/><c r="M63" s="335"/></row><row r="64" spans="2:13" s="33" customFormat="1" ht="15"><c r="B64" s="214" t="str"><f>Translation!$A$173</f><v>SECONDARY ENERGY PRODUCTION AND ENERGY FLUXES</v></c><c r="C64" s="215"/><c r="D64" s="215"/><c r="E64" s="216"/><c r="F64" s="216"/><c r="G64" s="217"/><c r="H64" s="217"/><c r="I64" s="217"/><c r="J64" s="217"/><c r="K64" s="217"/><c r="L64" s="217"/><c r="M64" s="217"/></row><row r="65" spans="2:13" s="33" customFormat="1" ht="15"><c r="B65" s="35" t="str"><f>Translation!$A$174</f><v>Electricity (non-renewable)</v></c><c r="C65" s="16"/><c r="D65" s="16"/><c r="E65" s="17"/><c r="F65" s="18"/><c r="G65" s="19"/><c r="H65" s="19"/><c r="I65" s="19"/><c r="J65" s="19"/><c r="K65" s="327"><f>SUM(H65:H78)</f><v>0</v></c><c r="L65" s="327"><f t="shared" ref="L65:M65" si="4">SUM(I65:I78)</f><v>264</v></c><c r="M65" s="333"><f t="shared" si="4"/><v>227.42099999999999</v></c></row><row r="66" spans="2:13" s="33" customFormat="1" ht="15"><c r="B66" s="35" t="str"><f>Translation!$A$175</f><v>Heat (non-renewable)</v></c><c r="C66" s="16"/><c r="D66" s="16"/><c r="E66" s="17"/><c r="F66" s="18"/><c r="G66" s="19"/><c r="H66" s="19"/><c r="I66" s="19"/><c r="J66" s="19"/><c r="K66" s="328"/><c r="L66" s="328"/><c r="M66" s="334"/></row><row r="67" spans="2:13" s="33" customFormat="1" ht="15"><c r="B67" s="35" t="str"><f>Translation!$A$176</f><v>Cold (non-renewable)</v></c><c r="C67" s="16"/><c r="D67" s="16"/><c r="E67" s="17"/><c r="F67" s="18"/><c r="G67" s="19"/><c r="H67" s="19"/><c r="I67" s="19"/><c r="J67" s="19"/><c r="K67" s="328"/><c r="L67" s="328"/><c r="M67" s="334"/></row><row r="68" spans="2:13" s="33" customFormat="1" ht="15"><c r="B68" s="35" t="str"><f>Translation!$A$177</f><v>Hydro</v></c><c r="C68" s="16"/><c r="D68" s="16"/><c r="E68" s="17"/><c r="F68" s="18"/><c r="G68" s="19"/><c r="H68" s="19"/><c r="I68" s="19"/><c r="J68" s="19"/><c r="K68" s="328"/><c r="L68" s="328"/><c r="M68" s="334"/></row><row r="69" spans="2:13" s="33" customFormat="1" ht="15"><c r="B69" s="35" t="str"><f>Translation!$A$178</f><v>Wind</v></c><c r="C69" s="236" t="s"><v>1106</v></c><c r="D69" s="236" t="s"><v>1090</v></c><c r="E69" s="237"><v>2015</v></c><c r="F69" s="238"><v>2017</v></c><c r="G69" s="239"><v>40000</v></c><c r="H69" s="239"/><c r="I69" s="239"><v>39</v></c><c r="J69" s="239"><v>30.771000000000001</v></c><c r="K69" s="328"/><c r="L69" s="328"/><c r="M69" s="334"/></row><row r="70" spans="2:13" s="33" customFormat="1" ht="15"><c r="B70" s="35" t="str"><f>Translation!$A$179</f><v>Solar</v></c><c r="C70" s="236" t="s"><v>1105</v></c><c r="D70" s="236" t="s"><v>1090</v></c><c r="E70" s="237"><v>2012</v></c><c r="F70" s="238"><v>2014</v></c><c r="G70" s="239"><v>350000</v></c><c r="H70" s="239"/><c r="I70" s="239"><v>225</v></c><c r="J70" s="239"><v>196.65</v></c><c r="K70" s="328"/><c r="L70" s="328"/><c r="M70" s="334"/></row><row r="71" spans="2:13" s="33" customFormat="1" ht="15"><c r="B71" s="35" t="str"><f>Translation!$A$180</f><v>Geothermal</v></c><c r="C71" s="16"/><c r="D71" s="16"/><c r="E71" s="17"/><c r="F71" s="18"/><c r="G71" s="19"/><c r="H71" s="19"/><c r="I71" s="19"/><c r="J71" s="19"/><c r="K71" s="328"/><c r="L71" s="328"/><c r="M71" s="334"/></row><row r="72" spans="2:13" s="33" customFormat="1" ht="15"><c r="B72" s="35" t="str"><f>Translation!$A$181</f><v>Ocean</v></c><c r="C72" s="16"/><c r="D72" s="16"/><c r="E72" s="17"/><c r="F72" s="18"/><c r="G72" s="19"/><c r="H72" s="19"/><c r="I72" s="19"/><c r="J72" s="19"/><c r="K72" s="328"/><c r="L72" s="328"/><c r="M72" s="334"/></row><row r="73" spans="2:13" s="33" customFormat="1" ht="15"><c r="B73" s="35" t="str"><f>Translation!$A$182</f><v>Biomass</v></c><c r="C73" s="16"/><c r="D73" s="16"/><c r="E73" s="17"/><c r="F73" s="18"/><c r="G73" s="19"/><c r="H73" s="19"/><c r="I73" s="19"/><c r="J73" s="19"/><c r="K73" s="328"/><c r="L73" s="328"/><c r="M73" s="334"/></row><row r="74" spans="2:13" s="33" customFormat="1" ht="15"><c r="B74" s="35" t="str"><f>Translation!$A$183</f><v>Urban waste</v></c><c r="C74" s="16"/><c r="D74" s="16"/><c r="E74" s="17"/><c r="F74" s="18"/><c r="G74" s="19"/><c r="H74" s="19"/><c r="I74" s="19"/><c r="J74" s="19"/><c r="K74" s="328"/><c r="L74" s="328"/><c r="M74" s="334"/></row><row r="75" spans="2:13" s="33" customFormat="1" ht="15"><c r="B75" s="35" t="str"><f>Translation!$A$184</f><v>Storage</v></c><c r="C75" s="16"/><c r="D75" s="16"/><c r="E75" s="17"/><c r="F75" s="18"/><c r="G75" s="19"/><c r="H75" s="19"/><c r="I75" s="19"/><c r="J75" s="19"/><c r="K75" s="328"/><c r="L75" s="328"/><c r="M75" s="334"/></row><row r="76" spans="2:13" s="33" customFormat="1" ht="15"><c r="B76" s="35" t="str"><f>Translation!$A$185</f><v>External connection</v></c><c r="C76" s="16"/><c r="D76" s="16"/><c r="E76" s="17"/><c r="F76" s="18"/><c r="G76" s="19"/><c r="H76" s="19"/><c r="I76" s="19"/><c r="J76" s="19"/><c r="K76" s="328"/><c r="L76" s="328"/><c r="M76" s="334"/></row><row r="77" spans="2:13" s="33" customFormat="1" ht="30"><c r="B77" s="35" t="str"><f>Translation!$A$186</f><v>Distribution losses and self-consumption</v></c><c r="C77" s="16"/><c r="D77" s="16"/><c r="E77" s="17"/><c r="F77" s="18"/><c r="G77" s="19"/><c r="H77" s="19"/><c r="I77" s="19"/><c r="J77" s="19"/><c r="K77" s="328"/><c r="L77" s="328"/><c r="M77" s="334"/></row><row r="78" spans="2:13" s="33" customFormat="1" ht="7.5" customHeight="1"><c r="B78" s="35"/><c r="C78" s="16"/><c r="D78" s="16"/><c r="E78" s="17"/><c r="F78" s="18"/><c r="G78" s="19"/><c r="H78" s="19"/><c r="I78" s="19"/><c r="J78" s="19"/><c r="K78" s="329"/><c r="L78" s="329"/><c r="M78" s="335"/></row><row r="79" spans="2:13" s="33" customFormat="1" ht="15"><c r="B79" s="214" t="str"><f>Translation!A187</f><v>LAND USE PLANNING</v></c><c r="C79" s="215"/><c r="D79" s="215"/><c r="E79" s="216"/><c r="F79" s="216"/><c r="G79" s="217"/><c r="H79" s="217"/><c r="I79" s="217"/><c r="J79" s="217"/><c r="K79" s="217"/><c r="L79" s="217"/><c r="M79" s="217"/></row><row r="80" spans="2:13" s="33" customFormat="1" ht="15"><c r="B80" s="235" t="s"><v>1064</v></c><c r="C80" s="236" t="s"><v>1062</v></c><c r="D80" s="236" t="s"><v>1090</v></c><c r="E80" s="237"><v>2012</v></c><c r="F80" s="238"><v>2020</v></c><c r="G80" s="239"><v>3000</v></c><c r="H80" s="239"/><c r="I80" s="239"/><c r="J80" s="239"><v>60</v></c><c r="K80" s="327"><f>SUM(H80:H84)</f><v>0</v></c><c r="L80" s="327"><f t="shared" ref="L80:M80" si="5">SUM(I80:I84)</f><v>0</v></c><c r="M80" s="327"><f t="shared" si="5"/><v>90</v></c></row><row r="81" spans="2:13" s="33" customFormat="1" ht="15"><c r="B81" s="235" t="s"><v>1064</v></c><c r="C81" s="236" t="s"><v>1063</v></c><c r="D81" s="236" t="s"><v>1090</v></c><c r="E81" s="237"><v>2012</v></c><c r="F81" s="238"><v>2020</v></c><c r="G81" s="239"><v>8000</v></c><c r="H81" s="239"/><c r="I81" s="239"/><c r="J81" s="239"><v>30</v></c><c r="K81" s="328"/><c r="L81" s="328"/><c r="M81" s="328"/></row><row r="82" spans="2:13" s="33" customFormat="1" ht="15"><c r="B82" s="35"/><c r="C82" s="16"/><c r="D82" s="16"/><c r="E82" s="17"/><c r="F82" s="18"/><c r="G82" s="19"/><c r="H82" s="19"/><c r="I82" s="19"/><c r="J82" s="19"/><c r="K82" s="328"/><c r="L82" s="328"/><c r="M82" s="328"/></row><row r="83" spans="2:13" s="33" customFormat="1" ht="15"><c r="B83" s="35"/><c r="C83" s="16"/><c r="D83" s="16"/><c r="E83" s="17"/><c r="F83" s="18"/><c r="G83" s="19"/><c r="H83" s="19"/><c r="I83" s="19"/><c r="J83" s="19"/><c r="K83" s="328"/><c r="L83" s="328"/><c r="M83" s="328"/></row><row r="84" spans="2:13" s="33" customFormat="1" ht="7.5" customHeight="1"><c r="B84" s="35"/><c r="C84" s="16"/><c r="D84" s="16"/><c r="E84" s="17"/><c r="F84" s="18"/><c r="G84" s="19"/><c r="H84" s="19"/><c r="I84" s="19"/><c r="J84" s="19"/><c r="K84" s="329"/><c r="L84" s="329"/><c r="M84" s="329"/></row><row r="85" spans="2:13" s="33" customFormat="1" ht="15"><c r="B85" s="214" t="str"><f>Translation!A192</f><v>PUBLIC PROCUREMENT OF PRODUCTS AND SERVICES</v></c><c r="C85" s="215"/><c r="D85" s="215"/><c r="E85" s="216"/><c r="F85" s="216"/><c r="G85" s="217"/><c r="H85" s="217"/><c r="I85" s="217"/><c r="J85" s="217"/><c r="K85" s="217"/><c r="L85" s="217"/><c r="M85" s="217"/></row><row r="86" spans="2:13" s="33" customFormat="1" ht="30"><c r="B86" s="35" t="str"><f>Translation!A193</f><v>Energy efficiency requirements/standards</v></c><c r="C86" s="16"/><c r="D86" s="16"/><c r="E86" s="17"/><c r="F86" s="18"/><c r="G86" s="19"/><c r="H86" s="19"/><c r="I86" s="19"/><c r="J86" s="19"/><c r="K86" s="327"><f>SUM(H86:H88)</f><v>0</v></c><c r="L86" s="327"><f t="shared" ref="L86:M86" si="6">SUM(I86:I88)</f><v>0</v></c><c r="M86" s="327"><f t="shared" si="6"/><v>0</v></c></row><row r="87" spans="2:13" s="33" customFormat="1" ht="30"><c r="B87" s="35" t="str"><f>Translation!A194</f><v>Renewable energy requirements/standards</v></c><c r="C87" s="16"/><c r="D87" s="16"/><c r="E87" s="17"/><c r="F87" s="18"/><c r="G87" s="19"/><c r="H87" s="19"/><c r="I87" s="19"/><c r="J87" s="19"/><c r="K87" s="328"/><c r="L87" s="328"/><c r="M87" s="328"/></row><row r="88" spans="2:13" s="33" customFormat="1" ht="7.5" customHeight="1"><c r="B88" s="35"/><c r="C88" s="16"/><c r="D88" s="16"/><c r="E88" s="17"/><c r="F88" s="18"/><c r="G88" s="19"/><c r="H88" s="19"/><c r="I88" s="19"/><c r="J88" s="19"/><c r="K88" s="329"/><c r="L88" s="329"/><c r="M88" s="329"/></row><row r="89" spans="2:13" s="33" customFormat="1" ht="15"><c r="B89" s="214" t="str"><f>Translation!A195</f><v>CITIZENS AND STAKEHOLDERS</v></c><c r="C89" s="215"/><c r="D89" s="215"/><c r="E89" s="216"/><c r="F89" s="216"/><c r="G89" s="217"/><c r="H89" s="217"/><c r="I89" s="217"/><c r="J89" s="217"/><c r="K89" s="217"/><c r="L89" s="217"/><c r="M89" s="217"/></row><row r="90" spans="2:13" s="33" customFormat="1" ht="30"><c r="B90" s="235" t="str"><f>Translation!A196</f><v>Advisory services</v></c><c r="C90" s="236" t="s"><v>1065</v></c><c r="D90" s="236" t="s"><v>1090</v></c><c r="E90" s="237"><v>2013</v></c><c r="F90" s="238"><v>2013</v></c><c r="G90" s="239"><v>10000</v></c><c r="H90" s="239"><v>2025</v></c><c r="I90" s="239"/><c r="J90" s="239"><v>1435.7249999999999</v></c><c r="K90" s="327"><f>SUM(H90:H104)</f><v>371655</v></c><c r="L90" s="327"><f t="shared" ref="L90:M90" si="7">SUM(I90:I104)</f><v>100</v></c><c r="M90" s="327"><f t="shared" si="7"/><v>6883.0420000000004</v></c></row><row r="91" spans="2:13" s="33" customFormat="1" ht="15"><c r="B91" s="235" t="s"><v>149</v></c><c r="C91" s="236" t="s"><v>1066</v></c><c r="D91" s="236" t="s"><v>1090</v></c><c r="E91" s="237"><v>2010</v></c><c r="F91" s="238"><v>2020</v></c><c r="G91" s="239"><v>4000</v></c><c r="H91" s="239"><v>2430</v></c><c r="I91" s="239"/><c r="J91" s="239"><v>1219</v></c><c r="K91" s="328"/><c r="L91" s="328"/><c r="M91" s="328"/></row><row r="92" spans="2:13" s="33" customFormat="1" ht="15"><c r="B92" s="235" t="s"><v>149</v></c><c r="C92" s="236" t="s"><v>1067</v></c><c r="D92" s="236" t="s"><v>1090</v></c><c r="E92" s="237"><v>2013</v></c><c r="F92" s="238"><v>2020</v></c><c r="G92" s="239"><v>8000</v></c><c r="H92" s="239"><v>296</v></c><c r="I92" s="239"/><c r="J92" s="239"><v>209.864</v></c><c r="K92" s="328"/><c r="L92" s="328"/><c r="M92" s="328"/></row><row r="93" spans="2:13" s="33" customFormat="1" ht="15"><c r="B93" s="235" t="s"><v>149</v></c><c r="C93" s="236" t="s"><v>1068</v></c><c r="D93" s="236" t="s"><v>1090</v></c><c r="E93" s="237"><v>2012</v></c><c r="F93" s="238"><v>2020</v></c><c r="G93" s="239"><v>10000</v></c><c r="H93" s="239"><v>960</v></c><c r="I93" s="239"><v>0</v></c><c r="J93" s="239"><v>680.64</v></c><c r="K93" s="328"/><c r="L93" s="328"/><c r="M93" s="328"/></row><row r="94" spans="2:13" s="33" customFormat="1" ht="15"><c r="B94" s="235" t="s"><v>149</v></c><c r="C94" s="236" t="s"><v>1069</v></c><c r="D94" s="236" t="s"><v>1090</v></c><c r="E94" s="237"><v>2010</v></c><c r="F94" s="238"><v>2020</v></c><c r="G94" s="239"><v>0</v></c><c r="H94" s="239"><v>450</v></c><c r="I94" s="239"><v>100</v></c><c r="J94" s="239"><v>319.05</v></c><c r="K94" s="328"/><c r="L94" s="328"/><c r="M94" s="328"/></row><row r="95" spans="2:13" s="33" customFormat="1" ht="15"><c r="B95" s="235" t="s"><v>149</v></c><c r="C95" s="236" t="s"><v>1070</v></c><c r="D95" s="236" t="s"><v>1090</v></c><c r="E95" s="237"><v>2010</v></c><c r="F95" s="238"><v>2020</v></c><c r="G95" s="239"><v>4000</v></c><c r="H95" s="239"><v>2400</v></c><c r="I95" s="239"><v>0</v></c><c r="J95" s="239"><v>607.20000000000005</v></c><c r="K95" s="328"/><c r="L95" s="328"/><c r="M95" s="328"/></row><row r="96" spans="2:13" s="33" customFormat="1" ht="15"><c r="B96" s="235" t="s"><v>149</v></c><c r="C96" s="236" t="s"><v>1071</v></c><c r="D96" s="236" t="s"><v>1090</v></c><c r="E96" s="237"><v>2013</v></c><c r="F96" s="238"><v>2020</v></c><c r="G96" s="239"><v>3500</v></c><c r="H96" s="239"><v>448</v></c><c r="I96" s="239"><v>0</v></c><c r="J96" s="239"><v>113.34399999999999</v></c><c r="K96" s="328"/><c r="L96" s="328"/><c r="M96" s="328"/></row><row r="97" spans="2:13" s="33" customFormat="1" ht="15"><c r="B97" s="235" t="s"><v>149</v></c><c r="C97" s="236" t="s"><v>1072</v></c><c r="D97" s="236" t="s"><v>1090</v></c><c r="E97" s="237"><v>2013</v></c><c r="F97" s="238"><v>2020</v></c><c r="G97" s="239"><v>1400</v></c><c r="H97" s="239"><v>126</v></c><c r="I97" s="239"/><c r="J97" s="239"><v>110.124</v></c><c r="K97" s="328"/><c r="L97" s="328"/><c r="M97" s="328"/></row><row r="98" spans="2:13" s="33" customFormat="1" ht="30"><c r="B98" s="235" t="s"><v>9</v></c><c r="C98" s="236" t="s"><v>1098</v></c><c r="D98" s="236" t="s"><v>1090</v></c><c r="E98" s="237"><v>2014</v></c><c r="F98" s="238"><v>2020</v></c><c r="G98" s="239"><v>20000</v></c><c r="H98" s="239"><v>585</v></c><c r="I98" s="239"/><c r="J98" s="239"><v>511.29</v></c><c r="K98" s="328"/><c r="L98" s="328"/><c r="M98" s="328"/></row><row r="99" spans="2:13" s="33" customFormat="1" ht="15"><c r="B99" s="235" t="s"><v>9</v></c><c r="C99" s="236" t="s"><v>1073</v></c><c r="D99" s="236" t="s"><v>1090</v></c><c r="E99" s="237"><v>2010</v></c><c r="F99" s="238"><v>2020</v></c><c r="G99" s="239"><v>5000</v></c><c r="H99" s="239"><v>1620</v></c><c r="I99" s="239"/><c r="J99" s="239"><v>1148.58</v></c><c r="K99" s="328"/><c r="L99" s="328"/><c r="M99" s="328"/></row><row r="100" spans="2:13" s="33" customFormat="1" ht="15"><c r="B100" s="235" t="s"><v>9</v></c><c r="C100" s="236" t="s"><v>1074</v></c><c r="D100" s="236" t="s"><v>1090</v></c><c r="E100" s="237"><v>2012</v></c><c r="F100" s="238" t="s"><v>1097</v></c><c r="G100" s="239"><v>3000</v></c><c r="H100" s="239"><v>360000</v></c><c r="I100" s="239"/><c r="J100" s="239"><v>314.64</v></c><c r="K100" s="328"/><c r="L100" s="328"/><c r="M100" s="328"/></row><row r="101" spans="2:13" s="33" customFormat="1" ht="15"><c r="B101" s="235" t="s"><v>9</v></c><c r="C101" s="236" t="s"><v>1075</v></c><c r="D101" s="236" t="s"><v>1090</v></c><c r="E101" s="237"><v>2013</v></c><c r="F101" s="238"><v>2015</v></c><c r="G101" s="239"><v>3000</v></c><c r="H101" s="239"><v>157.5</v></c><c r="I101" s="239"><v>0</v></c><c r="J101" s="239"><v>101.917</v></c><c r="K101" s="328"/><c r="L101" s="328"/><c r="M101" s="328"/></row><row r="102" spans="2:13" s="33" customFormat="1" ht="15"><c r="B102" s="235" t="s"><v>9</v></c><c r="C102" s="236" t="s"><v>1076</v></c><c r="D102" s="236" t="s"><v>1090</v></c><c r="E102" s="237"><v>2013</v></c><c r="F102" s="238"><v>2015</v></c><c r="G102" s="239"><v>3000</v></c><c r="H102" s="239"><v>157.5</v></c><c r="I102" s="239"/><c r="J102" s="239"><v>111.66800000000001</v></c><c r="K102" s="328"/><c r="L102" s="328"/><c r="M102" s="328"/></row><row r="103" spans="2:13" s="33" customFormat="1" ht="15"><c r="B103" s="235"/><c r="C103" s="236"/><c r="D103" s="236"/><c r="E103" s="237"/><c r="F103" s="238"/><c r="G103" s="239"/><c r="H103" s="239"/><c r="I103" s="239"/><c r="J103" s="239"/><c r="K103" s="328"/><c r="L103" s="328"/><c r="M103" s="328"/></row><row r="104" spans="2:13" s="33" customFormat="1" ht="7.5" customHeight="1"><c r="B104" s="35"/><c r="C104" s="16"/><c r="D104" s="16"/><c r="E104" s="17"/><c r="F104" s="18"/><c r="G104" s="19"/><c r="H104" s="19"/><c r="I104" s="19"/><c r="J104" s="19"/><c r="K104" s="329"/><c r="L104" s="329"/><c r="M104" s="329"/></row><row r="105" spans="2:13" s="33" customFormat="1" ht="15"><c r="B105" s="214" t="s"><v>1077</v></c><c r="C105" s="215"/><c r="D105" s="215"/><c r="E105" s="216"/><c r="F105" s="216"/><c r="G105" s="217"/><c r="H105" s="217"/><c r="I105" s="217"/><c r="J105" s="217"/><c r="K105" s="217"/><c r="L105" s="217"/><c r="M105" s="217"/></row><row r="106" spans="2:13" s="33" customFormat="1" ht="30"><c r="B106" s="235" t="s"><v>1038</v></c><c r="C106" s="236" t="s"><v>1093</v></c><c r="D106" s="236" t="s"><v>1090</v></c><c r="E106" s="237"><v>2013</v></c><c r="F106" s="238"><v>2013</v></c><c r="G106" s="239"><v>16000</v></c><c r="H106" s="239"><v>30</v></c><c r="I106" s="239"><v>0</v></c><c r="J106" s="239"><v>21.27</v></c><c r="K106" s="330"><f>SUM(H106:H111)</f><v>49</v></c><c r="L106" s="330"><f>SUM(I106:I111)</f><v>30</v></c><c r="M106" s="330"><f>SUM(J106:J111)</f><v>60.390999999999998</v></c></row><row r="107" spans="2:13" s="33" customFormat="1" ht="15"><c r="B107" s="240" t="s"><v>1079</v></c><c r="C107" s="236" t="s"><v>1078</v></c><c r="D107" s="236" t="s"><v>1090</v></c><c r="E107" s="237"><v>2014</v></c><c r="F107" s="238"><v>2014</v></c><c r="G107" s="239"><v>20000</v></c><c r="H107" s="239"><v>9</v></c><c r="I107" s="239"><v>0</v></c><c r="J107" s="239"><v>7.8659999999999997</v></c><c r="K107" s="330"/><c r="L107" s="330"/><c r="M107" s="330"/></row><row r="108" spans="2:13" s="33" customFormat="1" ht="30"><c r="B108" s="240" t="s"><v>1079</v></c><c r="C108" s="236" t="s"><v>1094</v></c><c r="D108" s="236" t="s"><v>1090</v></c><c r="E108" s="237"><v>2011</v></c><c r="F108" s="238"><v>2012</v></c><c r="G108" s="239"><v>1125</v></c><c r="H108" s="239"><v>3</v></c><c r="I108" s="239"><v>0</v></c><c r="J108" s="239"><v>2.6219999999999999</v></c><c r="K108" s="330"/><c r="L108" s="330"/><c r="M108" s="330"/></row><row r="109" spans="2:13" s="33" customFormat="1" ht="15" customHeight="1"><c r="B109" s="240" t="s"><v>1038</v></c><c r="C109" s="236" t="s"><v>1095</v></c><c r="D109" s="236" t="s"><v>1090</v></c><c r="E109" s="237"><v>2012</v></c><c r="F109" s="238"><v>2020</v></c><c r="G109" s="239"><v>1000</v></c><c r="H109" s="239"><v>7</v></c><c r="I109" s="239"><v>0</v></c><c r="J109" s="239"><v>4.9630000000000001</v></c><c r="K109" s="330"/><c r="L109" s="330"/><c r="M109" s="330"/></row><row r="110" spans="2:13" s="33" customFormat="1" ht="30"><c r="B110" s="235" t="s"><v>1041</v></c><c r="C110" s="236" t="s"><v>1096</v></c><c r="D110" s="236" t="s"><v>1090</v></c><c r="E110" s="237"><v>2014</v></c><c r="F110" s="238"><v>2016</v></c><c r="G110" s="239"><v>50000</v></c><c r="H110" s="239"><v>0</v></c><c r="I110" s="239"><v>30</v></c><c r="J110" s="239"><v>23.67</v></c><c r="K110" s="330"/><c r="L110" s="330"/><c r="M110" s="330"/></row><row r="111" spans="2:13" s="33" customFormat="1" ht="15"><c r="B111" s="165"/><c r="C111" s="16"/><c r="D111" s="16"/><c r="E111" s="17"/><c r="F111" s="18"/><c r="G111" s="19"/><c r="H111" s="19"/><c r="I111" s="19"/><c r="J111" s="19"/><c r="K111" s="330"/><c r="L111" s="330"/><c r="M111" s="330"/></row><row r="112" spans="2:13" s="33" customFormat="1" ht="15"><c r="B112" s="324" t="str"><f>Translation!A208</f><v>TOTAL</v></c><c r="C112" s="325"/><c r="D112" s="325"/><c r="E112" s="325"/><c r="F112" s="326"/><c r="G112" s="220"><f>SUM(G14:G111)</f><v>861025</v></c><c r="H112" s="220"><f>SUM(H14:H111)</f><v>451781.63</v></c><c r="I112" s="220"><f>SUM(I14:I111)</f><v>4264</v></c><c r="J112" s="220"><f>SUM(J14:J111)</f><v>35067.886000000006</v></c><c r="K112" s="36"><f>K14+K25+K29+K41+K53+K65+K80+K86+K90+K106</f><v>451781.63</v></c><c r="L112" s="36"><f>L14+L25+L29+L41+L53+L65+L80+L86+L90+L106</f><v>4264</v></c><c r="M112" s="36"><f>M14+M25+M29+M41+M53+M65+M80+M86+M90+M106</f><v>35067.885999999999</v></c></row><row r="113" spans="1:18" ht="17.25" customHeight="1"><c r="B113" s="37"/><c r="C113" s="38"/><c r="D113" s="39"/><c r="E113" s="40"/><c r="F113" s="41"/><c r="J113" s="42"/></row><row r="114" spans="1:18" s="107" customFormat="1" ht="36"><c r="A114" s="106" t="s"><v>10</v></c><c r="B114" s="323" t="str"><f>Translation!A209</f><v>WEBSITE</v></c><c r="C114" s="323"/><c r="D114" s="323"/><c r="E114" s="323"/><c r="F114" s="323"/><c r="G114" s="323"/><c r="H114" s="323"/><c r="I114" s="323"/><c r="J114" s="323"/><c r="K114" s="323"/><c r="L114" s="323"/><c r="M114" s="323"/></row><row r="115" spans="1:18" ht="15.75" customHeight="1"><c r="A115" s="43"/><c r="C115" s="44" t="str"><f>Translation!A210</f><v>Direct link to the webpage dedicated to ISEAP (if any)</v></c><c r="D115" s="320" t="s"><v>1086</v></c><c r="E115" s="321"/><c r="F115" s="321"/><c r="G115" s="321"/><c r="H115" s="322"/><c r="I115" s="26"/></row><row r="116" spans="1:18" ht="17.25" customHeight="1"><c r="B116" s="37"/><c r="J116" s="42"/></row><row r="117" spans="1:18" ht="12.75" customHeight="1"><c r="B117" s="26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17" s="267"/><c r="D117" s="267"/><c r="E117" s="267"/><c r="F117" s="267"/><c r="G117" s="267"/><c r="H117" s="267"/><c r="I117" s="267"/><c r="J117" s="267"/><c r="K117" s="267"/><c r="L117" s="267"/><c r="M117" s="267"/></row><row r="118" spans="1:18"><c r="B118" s="267"/><c r="C118" s="267"/><c r="D118" s="267"/><c r="E118" s="267"/><c r="F118" s="267"/><c r="G118" s="267"/><c r="H118" s="267"/><c r="I118" s="267"/><c r="J118" s="267"/><c r="K118" s="267"/><c r="L118" s="267"/><c r="M118" s="267"/></row><row r="119" spans="1:18"><c r="B119" s="267"/><c r="C119" s="267"/><c r="D119" s="267"/><c r="E119" s="267"/><c r="F119" s="267"/><c r="G119" s="267"/><c r="H119" s="267"/><c r="I119" s="267"/><c r="J119" s="267"/><c r="K119" s="267"/><c r="L119" s="267"/><c r="M119" s="267"/></row><row r="120" spans="1:18"><c r="L120" s="21" t="s"><v>1108</v></c><c r="M120" s="345"><f>'Baseline emission inventory'!U122</f><v>146093.00772997673</v></c></row><row r="121" spans="1:18"><c r="L121" s="21" t="s"><v>1109</v></c><c r="M121" s="345"><f>'BAU 2020'!U122</f><v>151744.31397311678</v></c><c r="O121" s="21" t="s"><v>1110</v></c><c r="R121" s="21" t="s"><v>1111</v></c></row><row r="122" spans="1:18" ht="15"><c r="L122" s="346" t="s"><v>1112</v></c><c r="M122" s="347"><f>M121-M112</f><v>116676.42797311678</v></c><c r="O122" s="349"><f>1-M122/M121</f><v>0.2310985175115865</v></c><c r="R122" s="348"><f>1-M122/M120</f><v>0.20135515185798991</v></c></row></sheetData><mergeCells count="52"><mergeCell ref="L80:L84"/><mergeCell ref="M80:M84"/><mergeCell ref="K65:K78"/><mergeCell ref="L65:L78"/><mergeCell ref="M65:M78"/><mergeCell ref="K80:K84"/><mergeCell ref="K53:K63"/><mergeCell ref="L53:L63"/><mergeCell ref="M53:M63"/><mergeCell ref="K41:K51"/><mergeCell ref="L41:L51"/><mergeCell ref="M41:M51"/><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9"/><mergeCell ref="L29:L39"/><mergeCell ref="M29:M39"/><mergeCell ref="K25:K27"/><mergeCell ref="L25:L27"/><mergeCell ref="M25:M27"/><mergeCell ref="K14:K23"/><mergeCell ref="L14:L23"/><mergeCell ref="M14:M23"/><mergeCell ref="B117:M119"/><mergeCell ref="D115:H115"/><mergeCell ref="B114:M114"/><mergeCell ref="B112:F112"/><mergeCell ref="K86:K88"/><mergeCell ref="L86:L88"/><mergeCell ref="M86:M88"/><mergeCell ref="K106:K111"/><mergeCell ref="L106:L111"/><mergeCell ref="M106:M111"/><mergeCell ref="K90:K104"/><mergeCell ref="L90:L104"/><mergeCell ref="M90:M104"/></mergeCells><hyperlinks><hyperlink ref="D115"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715BB338-59BD-41EA-A18B-3DDEB14B4EA9}" xmlns:ds="http://schemas.openxmlformats.org/officeDocument/2006/customXml"/>
</file>

<file path=customXml/itemProps2.xml><?xml version="1.0" encoding="UTF-8" standalone="no"?>
<ds:datastoreItem ds:itemID_"{87F71EBA-BFC3-4FDC-ACBF-6A1283ADD6BC}" xmlns:ds="http://schemas.openxmlformats.org/officeDocument/2006/customXml"/>
</file>

<file path=customXml/itemProps3.xml><?xml version="1.0" encoding="UTF-8" standalone="no"?>
<ds:datastoreItem ds:itemID_"{6C4F1DC7-F728-451E-82AD-1DA6733AC1A8}"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2012-06-11T11:47:36Z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