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185" yWindow="-15" windowWidth="27660" windowHeight="6780"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F51" i="8"/>
  <c r="F50"/>
  <c r="F49"/>
  <c r="F48"/>
  <c r="F47"/>
  <c r="F46"/>
  <c r="F45"/>
  <c r="F44"/>
  <c r="U44" s="1"/>
  <c r="F43"/>
  <c r="F42"/>
  <c r="F41"/>
  <c r="F40"/>
  <c r="F39"/>
  <c r="F38"/>
  <c r="F37"/>
  <c r="F36"/>
  <c r="F35"/>
  <c r="F34"/>
  <c r="F33"/>
  <c r="F32"/>
  <c r="F31"/>
  <c r="F30"/>
  <c r="F29"/>
  <c r="F28"/>
  <c r="U28" s="1"/>
  <c r="F27"/>
  <c r="F26"/>
  <c r="F25"/>
  <c r="F24"/>
  <c r="F23"/>
  <c r="F22"/>
  <c r="F21"/>
  <c r="F20"/>
  <c r="F19"/>
  <c r="F18"/>
  <c r="F17"/>
  <c r="M51"/>
  <c r="M50"/>
  <c r="M49"/>
  <c r="M48"/>
  <c r="M47"/>
  <c r="M46"/>
  <c r="M45"/>
  <c r="M44"/>
  <c r="M43"/>
  <c r="M42"/>
  <c r="M41"/>
  <c r="M40"/>
  <c r="M39"/>
  <c r="M38"/>
  <c r="M37"/>
  <c r="M36"/>
  <c r="M35"/>
  <c r="M34"/>
  <c r="M33"/>
  <c r="M32"/>
  <c r="M31"/>
  <c r="M30"/>
  <c r="M29"/>
  <c r="M28"/>
  <c r="M27"/>
  <c r="M26"/>
  <c r="M25"/>
  <c r="M24"/>
  <c r="M23"/>
  <c r="M22"/>
  <c r="M21"/>
  <c r="M20"/>
  <c r="M19"/>
  <c r="M18"/>
  <c r="M17"/>
  <c r="T51"/>
  <c r="U51" s="1"/>
  <c r="T50"/>
  <c r="T49"/>
  <c r="U49" s="1"/>
  <c r="U48"/>
  <c r="T48"/>
  <c r="T47"/>
  <c r="U47" s="1"/>
  <c r="T46"/>
  <c r="T45"/>
  <c r="T44"/>
  <c r="T43"/>
  <c r="U43" s="1"/>
  <c r="T42"/>
  <c r="T41"/>
  <c r="U40"/>
  <c r="T40"/>
  <c r="T39"/>
  <c r="U39" s="1"/>
  <c r="T38"/>
  <c r="T37"/>
  <c r="U36"/>
  <c r="T36"/>
  <c r="T35"/>
  <c r="U35" s="1"/>
  <c r="T34"/>
  <c r="T33"/>
  <c r="U33" s="1"/>
  <c r="U32"/>
  <c r="T32"/>
  <c r="T31"/>
  <c r="U31" s="1"/>
  <c r="T30"/>
  <c r="T29"/>
  <c r="T28"/>
  <c r="T27"/>
  <c r="U27" s="1"/>
  <c r="T26"/>
  <c r="T25"/>
  <c r="U24"/>
  <c r="T24"/>
  <c r="T23"/>
  <c r="U23" s="1"/>
  <c r="T22"/>
  <c r="T21"/>
  <c r="U20"/>
  <c r="T20"/>
  <c r="T19"/>
  <c r="U19" s="1"/>
  <c r="T18"/>
  <c r="T17"/>
  <c r="U17" s="1"/>
  <c r="S52"/>
  <c r="R52"/>
  <c r="Q52"/>
  <c r="P52"/>
  <c r="T52" s="1"/>
  <c r="O52"/>
  <c r="N52"/>
  <c r="L52"/>
  <c r="K52"/>
  <c r="J52"/>
  <c r="I52"/>
  <c r="H52"/>
  <c r="G52"/>
  <c r="M52" s="1"/>
  <c r="E52"/>
  <c r="D52"/>
  <c r="C52"/>
  <c r="F52" s="1"/>
  <c r="U52" s="1"/>
  <c r="S48"/>
  <c r="R48"/>
  <c r="Q48"/>
  <c r="P48"/>
  <c r="O48"/>
  <c r="N48"/>
  <c r="L48"/>
  <c r="K48"/>
  <c r="J48"/>
  <c r="I48"/>
  <c r="H48"/>
  <c r="G48"/>
  <c r="E48"/>
  <c r="D48"/>
  <c r="C48"/>
  <c r="S43"/>
  <c r="R43"/>
  <c r="Q43"/>
  <c r="P43"/>
  <c r="O43"/>
  <c r="N43"/>
  <c r="L43"/>
  <c r="K43"/>
  <c r="J43"/>
  <c r="I43"/>
  <c r="H43"/>
  <c r="G43"/>
  <c r="E43"/>
  <c r="D43"/>
  <c r="C43"/>
  <c r="C34"/>
  <c r="S34"/>
  <c r="R34"/>
  <c r="Q34"/>
  <c r="P34"/>
  <c r="O34"/>
  <c r="N34"/>
  <c r="L34"/>
  <c r="K34"/>
  <c r="J34"/>
  <c r="I34"/>
  <c r="H34"/>
  <c r="G34"/>
  <c r="E34"/>
  <c r="D34"/>
  <c r="S30"/>
  <c r="R30"/>
  <c r="Q30"/>
  <c r="P30"/>
  <c r="O30"/>
  <c r="N30"/>
  <c r="L30"/>
  <c r="K30"/>
  <c r="J30"/>
  <c r="I30"/>
  <c r="H30"/>
  <c r="G30"/>
  <c r="E30"/>
  <c r="D30"/>
  <c r="C30"/>
  <c r="C17"/>
  <c r="C27"/>
  <c r="C34" i="9"/>
  <c r="C48"/>
  <c r="F48" s="1"/>
  <c r="U48" s="1"/>
  <c r="S48"/>
  <c r="R48"/>
  <c r="Q48"/>
  <c r="P48"/>
  <c r="T48" s="1"/>
  <c r="O48"/>
  <c r="N48"/>
  <c r="L48"/>
  <c r="K48"/>
  <c r="J48"/>
  <c r="I48"/>
  <c r="H48"/>
  <c r="G48"/>
  <c r="M48" s="1"/>
  <c r="E48"/>
  <c r="D48"/>
  <c r="D121" s="1"/>
  <c r="S43"/>
  <c r="R43"/>
  <c r="Q43"/>
  <c r="P43"/>
  <c r="T43" s="1"/>
  <c r="O43"/>
  <c r="N43"/>
  <c r="L43"/>
  <c r="K43"/>
  <c r="J43"/>
  <c r="I43"/>
  <c r="H43"/>
  <c r="G43"/>
  <c r="M43" s="1"/>
  <c r="E43"/>
  <c r="D43"/>
  <c r="C43"/>
  <c r="F43" s="1"/>
  <c r="U43" s="1"/>
  <c r="S34"/>
  <c r="R34"/>
  <c r="Q34"/>
  <c r="P34"/>
  <c r="T34" s="1"/>
  <c r="O34"/>
  <c r="N34"/>
  <c r="L34"/>
  <c r="K34"/>
  <c r="J34"/>
  <c r="I34"/>
  <c r="H34"/>
  <c r="G34"/>
  <c r="M34" s="1"/>
  <c r="E34"/>
  <c r="D34"/>
  <c r="F34"/>
  <c r="U34" s="1"/>
  <c r="C30"/>
  <c r="S30"/>
  <c r="R30"/>
  <c r="Q30"/>
  <c r="P30"/>
  <c r="T30" s="1"/>
  <c r="O30"/>
  <c r="N30"/>
  <c r="L30"/>
  <c r="K30"/>
  <c r="J30"/>
  <c r="I30"/>
  <c r="H30"/>
  <c r="G30"/>
  <c r="M30" s="1"/>
  <c r="E30"/>
  <c r="D30"/>
  <c r="F30"/>
  <c r="U30" s="1"/>
  <c r="S27" i="8"/>
  <c r="R27"/>
  <c r="Q27"/>
  <c r="P27"/>
  <c r="O27"/>
  <c r="N27"/>
  <c r="S17"/>
  <c r="R17"/>
  <c r="Q17"/>
  <c r="P17"/>
  <c r="O17"/>
  <c r="N17"/>
  <c r="M117" i="1"/>
  <c r="K91"/>
  <c r="S108" i="4"/>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O129"/>
  <c r="N129"/>
  <c r="K129"/>
  <c r="J129"/>
  <c r="H129"/>
  <c r="G129"/>
  <c r="F129"/>
  <c r="E129"/>
  <c r="D129"/>
  <c r="C129"/>
  <c r="I129" s="1"/>
  <c r="B129"/>
  <c r="U128"/>
  <c r="O128"/>
  <c r="N128"/>
  <c r="K128"/>
  <c r="J128"/>
  <c r="H128"/>
  <c r="H131" s="1"/>
  <c r="G128"/>
  <c r="G131" s="1"/>
  <c r="F128"/>
  <c r="F131" s="1"/>
  <c r="E128"/>
  <c r="E131" s="1"/>
  <c r="D128"/>
  <c r="D131" s="1"/>
  <c r="C128"/>
  <c r="I128" s="1"/>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T121" s="1"/>
  <c r="L121"/>
  <c r="K121"/>
  <c r="J121"/>
  <c r="I121"/>
  <c r="M121" s="1"/>
  <c r="H121"/>
  <c r="G121"/>
  <c r="E121"/>
  <c r="B121"/>
  <c r="S120"/>
  <c r="R120"/>
  <c r="Q120"/>
  <c r="P120"/>
  <c r="O120"/>
  <c r="N120"/>
  <c r="T120" s="1"/>
  <c r="L120"/>
  <c r="K120"/>
  <c r="J120"/>
  <c r="I120"/>
  <c r="M120" s="1"/>
  <c r="H120"/>
  <c r="G120"/>
  <c r="E120"/>
  <c r="E117" s="1"/>
  <c r="B120"/>
  <c r="S119"/>
  <c r="R119"/>
  <c r="Q119"/>
  <c r="P119"/>
  <c r="O119"/>
  <c r="N119"/>
  <c r="T119" s="1"/>
  <c r="L119"/>
  <c r="K119"/>
  <c r="J119"/>
  <c r="I119"/>
  <c r="M119" s="1"/>
  <c r="H119"/>
  <c r="G119"/>
  <c r="E119"/>
  <c r="D119"/>
  <c r="B119"/>
  <c r="S118"/>
  <c r="R118"/>
  <c r="Q118"/>
  <c r="P118"/>
  <c r="O118"/>
  <c r="N118"/>
  <c r="T118" s="1"/>
  <c r="L118"/>
  <c r="K118"/>
  <c r="J118"/>
  <c r="I118"/>
  <c r="M118" s="1"/>
  <c r="H118"/>
  <c r="G118"/>
  <c r="E118"/>
  <c r="B118"/>
  <c r="S117"/>
  <c r="R117"/>
  <c r="Q117"/>
  <c r="P117"/>
  <c r="O117"/>
  <c r="N117"/>
  <c r="T117" s="1"/>
  <c r="L117"/>
  <c r="K117"/>
  <c r="J117"/>
  <c r="I117"/>
  <c r="M117" s="1"/>
  <c r="H117"/>
  <c r="G117"/>
  <c r="B117"/>
  <c r="S116"/>
  <c r="R116"/>
  <c r="Q116"/>
  <c r="P116"/>
  <c r="O116"/>
  <c r="N116"/>
  <c r="T116" s="1"/>
  <c r="L116"/>
  <c r="K116"/>
  <c r="J116"/>
  <c r="I116"/>
  <c r="M116" s="1"/>
  <c r="H116"/>
  <c r="G116"/>
  <c r="E116"/>
  <c r="B116"/>
  <c r="S115"/>
  <c r="R115"/>
  <c r="Q115"/>
  <c r="P115"/>
  <c r="O115"/>
  <c r="N115"/>
  <c r="T115" s="1"/>
  <c r="L115"/>
  <c r="K115"/>
  <c r="J115"/>
  <c r="I115"/>
  <c r="M115" s="1"/>
  <c r="H115"/>
  <c r="G115"/>
  <c r="E115"/>
  <c r="D115"/>
  <c r="B115"/>
  <c r="S114"/>
  <c r="R114"/>
  <c r="Q114"/>
  <c r="P114"/>
  <c r="O114"/>
  <c r="N114"/>
  <c r="T114" s="1"/>
  <c r="L114"/>
  <c r="K114"/>
  <c r="J114"/>
  <c r="I114"/>
  <c r="M114" s="1"/>
  <c r="H114"/>
  <c r="G114"/>
  <c r="E114"/>
  <c r="B114"/>
  <c r="S113"/>
  <c r="R113"/>
  <c r="Q113"/>
  <c r="P113"/>
  <c r="O113"/>
  <c r="N113"/>
  <c r="T113" s="1"/>
  <c r="L113"/>
  <c r="K113"/>
  <c r="J113"/>
  <c r="I113"/>
  <c r="M113" s="1"/>
  <c r="H113"/>
  <c r="G113"/>
  <c r="E113"/>
  <c r="B113"/>
  <c r="S112"/>
  <c r="R112"/>
  <c r="Q112"/>
  <c r="P112"/>
  <c r="O112"/>
  <c r="N112"/>
  <c r="T112" s="1"/>
  <c r="L112"/>
  <c r="K112"/>
  <c r="J112"/>
  <c r="I112"/>
  <c r="M112" s="1"/>
  <c r="H112"/>
  <c r="G112"/>
  <c r="E112"/>
  <c r="B112"/>
  <c r="S111"/>
  <c r="R111"/>
  <c r="Q111"/>
  <c r="P111"/>
  <c r="O111"/>
  <c r="N111"/>
  <c r="T111" s="1"/>
  <c r="L111"/>
  <c r="K111"/>
  <c r="J111"/>
  <c r="I111"/>
  <c r="M111" s="1"/>
  <c r="H111"/>
  <c r="G111"/>
  <c r="E111"/>
  <c r="D111"/>
  <c r="B111"/>
  <c r="S110"/>
  <c r="R110"/>
  <c r="Q110"/>
  <c r="P110"/>
  <c r="O110"/>
  <c r="N110"/>
  <c r="T110" s="1"/>
  <c r="L110"/>
  <c r="K110"/>
  <c r="J110"/>
  <c r="I110"/>
  <c r="M110" s="1"/>
  <c r="H110"/>
  <c r="G110"/>
  <c r="E110"/>
  <c r="B110"/>
  <c r="S109"/>
  <c r="R109"/>
  <c r="Q109"/>
  <c r="P109"/>
  <c r="O109"/>
  <c r="N109"/>
  <c r="T109" s="1"/>
  <c r="L109"/>
  <c r="K109"/>
  <c r="J109"/>
  <c r="I109"/>
  <c r="M109" s="1"/>
  <c r="H109"/>
  <c r="G109"/>
  <c r="E109"/>
  <c r="B109"/>
  <c r="S108"/>
  <c r="R108"/>
  <c r="Q108"/>
  <c r="P108"/>
  <c r="O108"/>
  <c r="N108"/>
  <c r="T108" s="1"/>
  <c r="L108"/>
  <c r="K108"/>
  <c r="J108"/>
  <c r="I108"/>
  <c r="M108" s="1"/>
  <c r="H108"/>
  <c r="G108"/>
  <c r="E108"/>
  <c r="B108"/>
  <c r="S107"/>
  <c r="R107"/>
  <c r="Q107"/>
  <c r="P107"/>
  <c r="O107"/>
  <c r="N107"/>
  <c r="T107" s="1"/>
  <c r="L107"/>
  <c r="K107"/>
  <c r="J107"/>
  <c r="I107"/>
  <c r="M107" s="1"/>
  <c r="H107"/>
  <c r="G107"/>
  <c r="E107"/>
  <c r="D107"/>
  <c r="B107"/>
  <c r="S106"/>
  <c r="R106"/>
  <c r="Q106"/>
  <c r="P106"/>
  <c r="O106"/>
  <c r="N106"/>
  <c r="T106" s="1"/>
  <c r="L106"/>
  <c r="K106"/>
  <c r="J106"/>
  <c r="I106"/>
  <c r="M106" s="1"/>
  <c r="H106"/>
  <c r="G106"/>
  <c r="E106"/>
  <c r="B106"/>
  <c r="S105"/>
  <c r="R105"/>
  <c r="Q105"/>
  <c r="P105"/>
  <c r="O105"/>
  <c r="N105"/>
  <c r="T105" s="1"/>
  <c r="L105"/>
  <c r="K105"/>
  <c r="J105"/>
  <c r="I105"/>
  <c r="M105" s="1"/>
  <c r="H105"/>
  <c r="G105"/>
  <c r="E105"/>
  <c r="B105"/>
  <c r="S104"/>
  <c r="R104"/>
  <c r="Q104"/>
  <c r="P104"/>
  <c r="O104"/>
  <c r="N104"/>
  <c r="T104" s="1"/>
  <c r="L104"/>
  <c r="K104"/>
  <c r="J104"/>
  <c r="I104"/>
  <c r="M104" s="1"/>
  <c r="H104"/>
  <c r="G104"/>
  <c r="E104"/>
  <c r="B104"/>
  <c r="S103"/>
  <c r="R103"/>
  <c r="Q103"/>
  <c r="P103"/>
  <c r="O103"/>
  <c r="N103"/>
  <c r="T103" s="1"/>
  <c r="L103"/>
  <c r="K103"/>
  <c r="J103"/>
  <c r="I103"/>
  <c r="M103" s="1"/>
  <c r="H103"/>
  <c r="G103"/>
  <c r="E103"/>
  <c r="D103"/>
  <c r="B103"/>
  <c r="S102"/>
  <c r="R102"/>
  <c r="Q102"/>
  <c r="P102"/>
  <c r="O102"/>
  <c r="N102"/>
  <c r="T102" s="1"/>
  <c r="L102"/>
  <c r="K102"/>
  <c r="J102"/>
  <c r="I102"/>
  <c r="M102" s="1"/>
  <c r="H102"/>
  <c r="G102"/>
  <c r="E102"/>
  <c r="B102"/>
  <c r="S101"/>
  <c r="R101"/>
  <c r="Q101"/>
  <c r="P101"/>
  <c r="O101"/>
  <c r="N101"/>
  <c r="T101" s="1"/>
  <c r="L101"/>
  <c r="K101"/>
  <c r="J101"/>
  <c r="I101"/>
  <c r="M101" s="1"/>
  <c r="H101"/>
  <c r="G101"/>
  <c r="E101"/>
  <c r="B101"/>
  <c r="S100"/>
  <c r="R100"/>
  <c r="Q100"/>
  <c r="P100"/>
  <c r="O100"/>
  <c r="N100"/>
  <c r="T100" s="1"/>
  <c r="L100"/>
  <c r="K100"/>
  <c r="J100"/>
  <c r="I100"/>
  <c r="M100" s="1"/>
  <c r="H100"/>
  <c r="G100"/>
  <c r="E100"/>
  <c r="B100"/>
  <c r="S99"/>
  <c r="R99"/>
  <c r="Q99"/>
  <c r="P99"/>
  <c r="O99"/>
  <c r="N99"/>
  <c r="T99" s="1"/>
  <c r="L99"/>
  <c r="K99"/>
  <c r="J99"/>
  <c r="I99"/>
  <c r="M99" s="1"/>
  <c r="H99"/>
  <c r="G99"/>
  <c r="E99"/>
  <c r="D99"/>
  <c r="B99"/>
  <c r="S98"/>
  <c r="R98"/>
  <c r="Q98"/>
  <c r="P98"/>
  <c r="O98"/>
  <c r="N98"/>
  <c r="T98" s="1"/>
  <c r="L98"/>
  <c r="K98"/>
  <c r="J98"/>
  <c r="I98"/>
  <c r="M98" s="1"/>
  <c r="H98"/>
  <c r="G98"/>
  <c r="E98"/>
  <c r="B98"/>
  <c r="S97"/>
  <c r="R97"/>
  <c r="Q97"/>
  <c r="P97"/>
  <c r="O97"/>
  <c r="N97"/>
  <c r="T97" s="1"/>
  <c r="L97"/>
  <c r="K97"/>
  <c r="J97"/>
  <c r="I97"/>
  <c r="M97" s="1"/>
  <c r="H97"/>
  <c r="G97"/>
  <c r="E97"/>
  <c r="B97"/>
  <c r="S96"/>
  <c r="R96"/>
  <c r="Q96"/>
  <c r="P96"/>
  <c r="O96"/>
  <c r="N96"/>
  <c r="T96" s="1"/>
  <c r="L96"/>
  <c r="K96"/>
  <c r="J96"/>
  <c r="I96"/>
  <c r="M96" s="1"/>
  <c r="H96"/>
  <c r="G96"/>
  <c r="E96"/>
  <c r="B96"/>
  <c r="S95"/>
  <c r="R95"/>
  <c r="Q95"/>
  <c r="P95"/>
  <c r="O95"/>
  <c r="N95"/>
  <c r="T95" s="1"/>
  <c r="L95"/>
  <c r="K95"/>
  <c r="J95"/>
  <c r="I95"/>
  <c r="M95" s="1"/>
  <c r="H95"/>
  <c r="G95"/>
  <c r="E95"/>
  <c r="D95"/>
  <c r="B95"/>
  <c r="S94"/>
  <c r="R94"/>
  <c r="Q94"/>
  <c r="P94"/>
  <c r="O94"/>
  <c r="N94"/>
  <c r="T94" s="1"/>
  <c r="L94"/>
  <c r="K94"/>
  <c r="J94"/>
  <c r="I94"/>
  <c r="M94" s="1"/>
  <c r="H94"/>
  <c r="G94"/>
  <c r="E94"/>
  <c r="B94"/>
  <c r="S93"/>
  <c r="R93"/>
  <c r="Q93"/>
  <c r="P93"/>
  <c r="O93"/>
  <c r="N93"/>
  <c r="T93" s="1"/>
  <c r="L93"/>
  <c r="K93"/>
  <c r="J93"/>
  <c r="I93"/>
  <c r="M93" s="1"/>
  <c r="H93"/>
  <c r="G93"/>
  <c r="E93"/>
  <c r="B93"/>
  <c r="S92"/>
  <c r="R92"/>
  <c r="Q92"/>
  <c r="P92"/>
  <c r="O92"/>
  <c r="N92"/>
  <c r="T92" s="1"/>
  <c r="L92"/>
  <c r="K92"/>
  <c r="J92"/>
  <c r="I92"/>
  <c r="M92" s="1"/>
  <c r="H92"/>
  <c r="G92"/>
  <c r="E92"/>
  <c r="E91" s="1"/>
  <c r="E122" s="1"/>
  <c r="B92"/>
  <c r="S91"/>
  <c r="S122" s="1"/>
  <c r="R91"/>
  <c r="R122" s="1"/>
  <c r="Q91"/>
  <c r="Q122" s="1"/>
  <c r="P91"/>
  <c r="P122" s="1"/>
  <c r="O91"/>
  <c r="O122" s="1"/>
  <c r="N91"/>
  <c r="T91" s="1"/>
  <c r="L91"/>
  <c r="L122" s="1"/>
  <c r="K91"/>
  <c r="K122" s="1"/>
  <c r="J91"/>
  <c r="J122" s="1"/>
  <c r="I91"/>
  <c r="M91" s="1"/>
  <c r="H91"/>
  <c r="H122" s="1"/>
  <c r="G91"/>
  <c r="G122" s="1"/>
  <c r="B91"/>
  <c r="T90"/>
  <c r="S90"/>
  <c r="R90"/>
  <c r="Q90"/>
  <c r="P90"/>
  <c r="O90"/>
  <c r="N90"/>
  <c r="M90"/>
  <c r="L90"/>
  <c r="K90"/>
  <c r="J90"/>
  <c r="I90"/>
  <c r="H90"/>
  <c r="G90"/>
  <c r="F90"/>
  <c r="E90"/>
  <c r="D90"/>
  <c r="C90"/>
  <c r="B90"/>
  <c r="U89"/>
  <c r="N89"/>
  <c r="G89"/>
  <c r="C89"/>
  <c r="C88"/>
  <c r="B88"/>
  <c r="U87"/>
  <c r="B87"/>
  <c r="B86"/>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E76"/>
  <c r="E137" s="1"/>
  <c r="B76"/>
  <c r="X75"/>
  <c r="W75"/>
  <c r="V75"/>
  <c r="U75"/>
  <c r="T75"/>
  <c r="S75"/>
  <c r="R75"/>
  <c r="Q75"/>
  <c r="P75"/>
  <c r="O75"/>
  <c r="N75"/>
  <c r="M75"/>
  <c r="L75"/>
  <c r="K75"/>
  <c r="J75"/>
  <c r="I75"/>
  <c r="H75"/>
  <c r="G75"/>
  <c r="F75"/>
  <c r="E75"/>
  <c r="D75"/>
  <c r="C75"/>
  <c r="Y74"/>
  <c r="X74"/>
  <c r="W74"/>
  <c r="S74"/>
  <c r="J74"/>
  <c r="C74"/>
  <c r="C73"/>
  <c r="B73"/>
  <c r="Y72"/>
  <c r="B72"/>
  <c r="H70"/>
  <c r="G70"/>
  <c r="F70"/>
  <c r="F76" s="1"/>
  <c r="F137" s="1"/>
  <c r="E70"/>
  <c r="D70"/>
  <c r="C70"/>
  <c r="B70"/>
  <c r="Q69"/>
  <c r="Q130" s="1"/>
  <c r="P69"/>
  <c r="P130" s="1"/>
  <c r="O69"/>
  <c r="O84" s="1"/>
  <c r="N69"/>
  <c r="N84" s="1"/>
  <c r="M69"/>
  <c r="M130" s="1"/>
  <c r="L69"/>
  <c r="L130" s="1"/>
  <c r="K69"/>
  <c r="K130" s="1"/>
  <c r="J69"/>
  <c r="J130" s="1"/>
  <c r="I69"/>
  <c r="I84" s="1"/>
  <c r="B69"/>
  <c r="Q68"/>
  <c r="Q129" s="1"/>
  <c r="P68"/>
  <c r="P83" s="1"/>
  <c r="O68"/>
  <c r="O83" s="1"/>
  <c r="N68"/>
  <c r="N83" s="1"/>
  <c r="M68"/>
  <c r="M129" s="1"/>
  <c r="L68"/>
  <c r="L129" s="1"/>
  <c r="K68"/>
  <c r="K83" s="1"/>
  <c r="J68"/>
  <c r="J83" s="1"/>
  <c r="I68"/>
  <c r="I83" s="1"/>
  <c r="B68"/>
  <c r="Q67"/>
  <c r="Q128" s="1"/>
  <c r="P67"/>
  <c r="P128" s="1"/>
  <c r="O67"/>
  <c r="O82" s="1"/>
  <c r="N67"/>
  <c r="N70" s="1"/>
  <c r="N76" s="1"/>
  <c r="N137" s="1"/>
  <c r="M67"/>
  <c r="M128" s="1"/>
  <c r="L67"/>
  <c r="L128" s="1"/>
  <c r="L131" s="1"/>
  <c r="K67"/>
  <c r="K82" s="1"/>
  <c r="J67"/>
  <c r="J70" s="1"/>
  <c r="J76" s="1"/>
  <c r="I67"/>
  <c r="B67"/>
  <c r="R66"/>
  <c r="Q66"/>
  <c r="P66"/>
  <c r="O66"/>
  <c r="N66"/>
  <c r="M66"/>
  <c r="L66"/>
  <c r="K66"/>
  <c r="J66"/>
  <c r="I66"/>
  <c r="H66"/>
  <c r="G66"/>
  <c r="F66"/>
  <c r="E66"/>
  <c r="D66"/>
  <c r="C66"/>
  <c r="B66"/>
  <c r="S65"/>
  <c r="J65"/>
  <c r="C65"/>
  <c r="T64"/>
  <c r="C64"/>
  <c r="B64"/>
  <c r="T63"/>
  <c r="B63"/>
  <c r="Z61"/>
  <c r="Y61"/>
  <c r="S76" s="1"/>
  <c r="X61"/>
  <c r="W61"/>
  <c r="U61"/>
  <c r="T61"/>
  <c r="Q61"/>
  <c r="P61"/>
  <c r="O61"/>
  <c r="N61"/>
  <c r="M61"/>
  <c r="L61"/>
  <c r="K61"/>
  <c r="J61"/>
  <c r="H61"/>
  <c r="G61"/>
  <c r="F61"/>
  <c r="E61"/>
  <c r="D61"/>
  <c r="C61"/>
  <c r="B61"/>
  <c r="AB60"/>
  <c r="AA60"/>
  <c r="V60"/>
  <c r="S60"/>
  <c r="W130" s="1"/>
  <c r="X137" s="1"/>
  <c r="R60"/>
  <c r="I60"/>
  <c r="B60"/>
  <c r="AA59"/>
  <c r="AB59" s="1"/>
  <c r="V59"/>
  <c r="R59"/>
  <c r="I59"/>
  <c r="S59" s="1"/>
  <c r="B59"/>
  <c r="AB58"/>
  <c r="AA58"/>
  <c r="AA61" s="1"/>
  <c r="V58"/>
  <c r="V61" s="1"/>
  <c r="R58"/>
  <c r="R61" s="1"/>
  <c r="I58"/>
  <c r="S58"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T52"/>
  <c r="M52"/>
  <c r="U52" s="1"/>
  <c r="B52"/>
  <c r="T51"/>
  <c r="M51"/>
  <c r="U51" s="1"/>
  <c r="B51"/>
  <c r="T50"/>
  <c r="M50"/>
  <c r="U50" s="1"/>
  <c r="B50"/>
  <c r="T49"/>
  <c r="M49"/>
  <c r="U49" s="1"/>
  <c r="B49"/>
  <c r="B48"/>
  <c r="T47"/>
  <c r="M47"/>
  <c r="U47" s="1"/>
  <c r="B47"/>
  <c r="T46"/>
  <c r="M46"/>
  <c r="U46" s="1"/>
  <c r="B46"/>
  <c r="T45"/>
  <c r="M45"/>
  <c r="U45" s="1"/>
  <c r="B45"/>
  <c r="T44"/>
  <c r="M44"/>
  <c r="U44" s="1"/>
  <c r="B44"/>
  <c r="B43"/>
  <c r="T42"/>
  <c r="M42"/>
  <c r="U42" s="1"/>
  <c r="B42"/>
  <c r="T41"/>
  <c r="M41"/>
  <c r="U41" s="1"/>
  <c r="B41"/>
  <c r="T40"/>
  <c r="M40"/>
  <c r="U40" s="1"/>
  <c r="B40"/>
  <c r="T39"/>
  <c r="M39"/>
  <c r="U39" s="1"/>
  <c r="B39"/>
  <c r="T38"/>
  <c r="M38"/>
  <c r="U38" s="1"/>
  <c r="B38"/>
  <c r="T37"/>
  <c r="M37"/>
  <c r="U37" s="1"/>
  <c r="B37"/>
  <c r="T36"/>
  <c r="M36"/>
  <c r="U36" s="1"/>
  <c r="B36"/>
  <c r="T35"/>
  <c r="M35"/>
  <c r="U35" s="1"/>
  <c r="B35"/>
  <c r="B34"/>
  <c r="T33"/>
  <c r="M33"/>
  <c r="U33" s="1"/>
  <c r="B33"/>
  <c r="T32"/>
  <c r="M32"/>
  <c r="U32" s="1"/>
  <c r="B32"/>
  <c r="T31"/>
  <c r="M31"/>
  <c r="U31" s="1"/>
  <c r="B31"/>
  <c r="B30"/>
  <c r="T29"/>
  <c r="M29"/>
  <c r="U29" s="1"/>
  <c r="B29"/>
  <c r="T28"/>
  <c r="M28"/>
  <c r="U28" s="1"/>
  <c r="B28"/>
  <c r="T27"/>
  <c r="M27"/>
  <c r="U27" s="1"/>
  <c r="B27"/>
  <c r="T26"/>
  <c r="M26"/>
  <c r="U26" s="1"/>
  <c r="B26"/>
  <c r="T25"/>
  <c r="M25"/>
  <c r="U25" s="1"/>
  <c r="B25"/>
  <c r="T24"/>
  <c r="M24"/>
  <c r="U24" s="1"/>
  <c r="B24"/>
  <c r="T23"/>
  <c r="M23"/>
  <c r="U23" s="1"/>
  <c r="B23"/>
  <c r="T22"/>
  <c r="M22"/>
  <c r="U22" s="1"/>
  <c r="B22"/>
  <c r="T21"/>
  <c r="M21"/>
  <c r="U21" s="1"/>
  <c r="B21"/>
  <c r="T20"/>
  <c r="M20"/>
  <c r="U20" s="1"/>
  <c r="B20"/>
  <c r="T19"/>
  <c r="M19"/>
  <c r="U19" s="1"/>
  <c r="B19"/>
  <c r="T18"/>
  <c r="M18"/>
  <c r="U18" s="1"/>
  <c r="B18"/>
  <c r="T17"/>
  <c r="M17"/>
  <c r="U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J87" i="1"/>
  <c r="J63"/>
  <c r="H63"/>
  <c r="J55"/>
  <c r="J54"/>
  <c r="J111"/>
  <c r="J110"/>
  <c r="J104"/>
  <c r="I104"/>
  <c r="I103"/>
  <c r="H103"/>
  <c r="J102"/>
  <c r="I101"/>
  <c r="H101"/>
  <c r="I97"/>
  <c r="H97"/>
  <c r="I96"/>
  <c r="H96"/>
  <c r="I95"/>
  <c r="H95"/>
  <c r="J94"/>
  <c r="I94"/>
  <c r="H94"/>
  <c r="J93"/>
  <c r="I93"/>
  <c r="H93"/>
  <c r="J91"/>
  <c r="I91"/>
  <c r="H91"/>
  <c r="G102"/>
  <c r="G94"/>
  <c r="K14"/>
  <c r="U18" i="8" l="1"/>
  <c r="U26"/>
  <c r="U30"/>
  <c r="U34"/>
  <c r="U42"/>
  <c r="U46"/>
  <c r="U50"/>
  <c r="U25"/>
  <c r="U41"/>
  <c r="U22"/>
  <c r="U38"/>
  <c r="U21"/>
  <c r="U29"/>
  <c r="U37"/>
  <c r="U45"/>
  <c r="AD58" i="9"/>
  <c r="H76"/>
  <c r="H137" s="1"/>
  <c r="D92"/>
  <c r="D112"/>
  <c r="D116"/>
  <c r="D120"/>
  <c r="C76"/>
  <c r="C137" s="1"/>
  <c r="I137" s="1"/>
  <c r="G76"/>
  <c r="G137" s="1"/>
  <c r="D93"/>
  <c r="D94"/>
  <c r="D98"/>
  <c r="D102"/>
  <c r="D101" s="1"/>
  <c r="D106"/>
  <c r="D110"/>
  <c r="D114"/>
  <c r="D118"/>
  <c r="D117" s="1"/>
  <c r="D76"/>
  <c r="D137" s="1"/>
  <c r="D96"/>
  <c r="D100"/>
  <c r="D97"/>
  <c r="D105"/>
  <c r="D104" s="1"/>
  <c r="D109"/>
  <c r="D113"/>
  <c r="J137"/>
  <c r="I131"/>
  <c r="S61"/>
  <c r="AC58"/>
  <c r="S137"/>
  <c r="V76"/>
  <c r="AB61"/>
  <c r="M131"/>
  <c r="Q131"/>
  <c r="K131"/>
  <c r="W129"/>
  <c r="W137" s="1"/>
  <c r="AC59"/>
  <c r="AD59" s="1"/>
  <c r="J131"/>
  <c r="I61"/>
  <c r="L70"/>
  <c r="L76" s="1"/>
  <c r="L137" s="1"/>
  <c r="L83"/>
  <c r="K84"/>
  <c r="N122"/>
  <c r="T122" s="1"/>
  <c r="O130"/>
  <c r="O131" s="1"/>
  <c r="C131"/>
  <c r="R69"/>
  <c r="O70"/>
  <c r="O76" s="1"/>
  <c r="O137" s="1"/>
  <c r="L82"/>
  <c r="P82"/>
  <c r="J84"/>
  <c r="I122"/>
  <c r="M122" s="1"/>
  <c r="R128"/>
  <c r="N130"/>
  <c r="N131" s="1"/>
  <c r="R67"/>
  <c r="I70"/>
  <c r="M70"/>
  <c r="M76" s="1"/>
  <c r="M137" s="1"/>
  <c r="Q70"/>
  <c r="Q76" s="1"/>
  <c r="Q137" s="1"/>
  <c r="J82"/>
  <c r="N82"/>
  <c r="M83"/>
  <c r="L84"/>
  <c r="P84"/>
  <c r="P129"/>
  <c r="R129" s="1"/>
  <c r="S129" s="1"/>
  <c r="P70"/>
  <c r="P76" s="1"/>
  <c r="P137" s="1"/>
  <c r="I82"/>
  <c r="M82"/>
  <c r="AC60"/>
  <c r="AD60" s="1"/>
  <c r="K70"/>
  <c r="K76" s="1"/>
  <c r="K137" s="1"/>
  <c r="R68"/>
  <c r="M84"/>
  <c r="C76" i="4"/>
  <c r="D82"/>
  <c r="C82"/>
  <c r="D91" i="9" l="1"/>
  <c r="D122" s="1"/>
  <c r="I76"/>
  <c r="D108"/>
  <c r="AD61"/>
  <c r="AC61"/>
  <c r="S68"/>
  <c r="R83"/>
  <c r="R70"/>
  <c r="R82"/>
  <c r="R84"/>
  <c r="S69"/>
  <c r="R137"/>
  <c r="P131"/>
  <c r="R130"/>
  <c r="S130" s="1"/>
  <c r="S128"/>
  <c r="S67"/>
  <c r="R76"/>
  <c r="Y76" s="1"/>
  <c r="T69" l="1"/>
  <c r="S84"/>
  <c r="S70"/>
  <c r="T70" s="1"/>
  <c r="S82"/>
  <c r="T67"/>
  <c r="S131"/>
  <c r="C120"/>
  <c r="F120" s="1"/>
  <c r="U120" s="1"/>
  <c r="C115"/>
  <c r="F115" s="1"/>
  <c r="U115" s="1"/>
  <c r="C111"/>
  <c r="F111" s="1"/>
  <c r="U111" s="1"/>
  <c r="C106"/>
  <c r="F106" s="1"/>
  <c r="U106" s="1"/>
  <c r="C100"/>
  <c r="F100" s="1"/>
  <c r="U100" s="1"/>
  <c r="C96"/>
  <c r="F96" s="1"/>
  <c r="U96" s="1"/>
  <c r="C92"/>
  <c r="W128"/>
  <c r="U137" s="1"/>
  <c r="V137" s="1"/>
  <c r="Y137" s="1"/>
  <c r="S83"/>
  <c r="T68"/>
  <c r="R131"/>
  <c r="M18" i="4"/>
  <c r="T18"/>
  <c r="M19"/>
  <c r="T19"/>
  <c r="M20"/>
  <c r="T20"/>
  <c r="M21"/>
  <c r="T21"/>
  <c r="M22"/>
  <c r="T22"/>
  <c r="M23"/>
  <c r="T23"/>
  <c r="M24"/>
  <c r="T24"/>
  <c r="M25"/>
  <c r="T25"/>
  <c r="M26"/>
  <c r="T26"/>
  <c r="M28"/>
  <c r="U18"/>
  <c r="M29"/>
  <c r="T29"/>
  <c r="T30"/>
  <c r="M31"/>
  <c r="T31"/>
  <c r="M32"/>
  <c r="T32"/>
  <c r="M33"/>
  <c r="T33"/>
  <c r="M34"/>
  <c r="M35"/>
  <c r="T35"/>
  <c r="M36"/>
  <c r="T36"/>
  <c r="M37"/>
  <c r="T37"/>
  <c r="M38"/>
  <c r="T38"/>
  <c r="M39"/>
  <c r="T39"/>
  <c r="M40"/>
  <c r="T40"/>
  <c r="M41"/>
  <c r="T41"/>
  <c r="M42"/>
  <c r="T42"/>
  <c r="M43"/>
  <c r="T43"/>
  <c r="M44"/>
  <c r="T44"/>
  <c r="M45"/>
  <c r="T45"/>
  <c r="M46"/>
  <c r="T46"/>
  <c r="M47"/>
  <c r="T47"/>
  <c r="M49"/>
  <c r="T49"/>
  <c r="F92" i="9" l="1"/>
  <c r="U92" s="1"/>
  <c r="C95"/>
  <c r="F95" s="1"/>
  <c r="U95" s="1"/>
  <c r="C99"/>
  <c r="F99" s="1"/>
  <c r="U99" s="1"/>
  <c r="C105"/>
  <c r="C110"/>
  <c r="F110" s="1"/>
  <c r="U110" s="1"/>
  <c r="C114"/>
  <c r="F114" s="1"/>
  <c r="U114" s="1"/>
  <c r="C119"/>
  <c r="F119" s="1"/>
  <c r="U119" s="1"/>
  <c r="C94"/>
  <c r="F94" s="1"/>
  <c r="U94" s="1"/>
  <c r="C98"/>
  <c r="F98" s="1"/>
  <c r="U98" s="1"/>
  <c r="C103"/>
  <c r="F103" s="1"/>
  <c r="U103" s="1"/>
  <c r="C109"/>
  <c r="C113"/>
  <c r="F113" s="1"/>
  <c r="U113" s="1"/>
  <c r="C118"/>
  <c r="C93"/>
  <c r="F93" s="1"/>
  <c r="U93" s="1"/>
  <c r="C97"/>
  <c r="F97" s="1"/>
  <c r="U97" s="1"/>
  <c r="C102"/>
  <c r="C107"/>
  <c r="F107" s="1"/>
  <c r="U107" s="1"/>
  <c r="C112"/>
  <c r="F112" s="1"/>
  <c r="U112" s="1"/>
  <c r="C116"/>
  <c r="F116" s="1"/>
  <c r="U116" s="1"/>
  <c r="C121"/>
  <c r="F121" s="1"/>
  <c r="U121" s="1"/>
  <c r="U33" i="4"/>
  <c r="U29"/>
  <c r="U49"/>
  <c r="U45"/>
  <c r="U21"/>
  <c r="U44"/>
  <c r="U47"/>
  <c r="U42"/>
  <c r="U25"/>
  <c r="U23"/>
  <c r="U26"/>
  <c r="U24"/>
  <c r="U22"/>
  <c r="U20"/>
  <c r="U46"/>
  <c r="U19"/>
  <c r="U32"/>
  <c r="U31"/>
  <c r="U43"/>
  <c r="U40"/>
  <c r="U38"/>
  <c r="U36"/>
  <c r="T34"/>
  <c r="U34" s="1"/>
  <c r="U41"/>
  <c r="U39"/>
  <c r="U37"/>
  <c r="U35"/>
  <c r="M30"/>
  <c r="U30" s="1"/>
  <c r="T48"/>
  <c r="T27"/>
  <c r="T28"/>
  <c r="U28" s="1"/>
  <c r="M27"/>
  <c r="T17"/>
  <c r="F109" i="9" l="1"/>
  <c r="U109" s="1"/>
  <c r="C108"/>
  <c r="F108" s="1"/>
  <c r="U108" s="1"/>
  <c r="F102"/>
  <c r="U102" s="1"/>
  <c r="C101"/>
  <c r="F101" s="1"/>
  <c r="U101" s="1"/>
  <c r="C104"/>
  <c r="F104" s="1"/>
  <c r="U104" s="1"/>
  <c r="F105"/>
  <c r="U105" s="1"/>
  <c r="C117"/>
  <c r="F117" s="1"/>
  <c r="U117" s="1"/>
  <c r="F118"/>
  <c r="U118" s="1"/>
  <c r="C91"/>
  <c r="U27" i="4"/>
  <c r="M17"/>
  <c r="M48"/>
  <c r="U48" s="1"/>
  <c r="U17"/>
  <c r="F91" i="9" l="1"/>
  <c r="U91" s="1"/>
  <c r="C122"/>
  <c r="F122" s="1"/>
  <c r="U122" s="1"/>
  <c r="M118" i="1" s="1"/>
  <c r="M119" s="1"/>
  <c r="O119" s="1"/>
  <c r="G115"/>
  <c r="H115"/>
  <c r="I115"/>
  <c r="J115"/>
  <c r="L107"/>
  <c r="M107"/>
  <c r="L91"/>
  <c r="M91"/>
  <c r="L87"/>
  <c r="M87"/>
  <c r="L81"/>
  <c r="M81"/>
  <c r="L66"/>
  <c r="M66"/>
  <c r="L53"/>
  <c r="M53"/>
  <c r="L41"/>
  <c r="M41"/>
  <c r="L29"/>
  <c r="M29"/>
  <c r="L25"/>
  <c r="M25"/>
  <c r="L14"/>
  <c r="L115" s="1"/>
  <c r="M14"/>
  <c r="M115" s="1"/>
  <c r="K107"/>
  <c r="K87"/>
  <c r="K81"/>
  <c r="K66"/>
  <c r="K53"/>
  <c r="K41"/>
  <c r="K29"/>
  <c r="K25"/>
  <c r="K115"/>
  <c r="E8" i="8"/>
  <c r="U2" i="4"/>
  <c r="H84" i="8"/>
  <c r="G84"/>
  <c r="F84"/>
  <c r="E84"/>
  <c r="D84"/>
  <c r="C84"/>
  <c r="H83"/>
  <c r="G83"/>
  <c r="F83"/>
  <c r="E83"/>
  <c r="D83"/>
  <c r="C83"/>
  <c r="H82"/>
  <c r="F82"/>
  <c r="E82"/>
  <c r="X76"/>
  <c r="W76"/>
  <c r="U76"/>
  <c r="H70"/>
  <c r="F70"/>
  <c r="E70"/>
  <c r="Q69"/>
  <c r="P69"/>
  <c r="O69"/>
  <c r="N69"/>
  <c r="M69"/>
  <c r="L69"/>
  <c r="K69"/>
  <c r="J69"/>
  <c r="I69"/>
  <c r="I84" s="1"/>
  <c r="Q68"/>
  <c r="P68"/>
  <c r="P83" s="1"/>
  <c r="O68"/>
  <c r="N68"/>
  <c r="N83" s="1"/>
  <c r="M68"/>
  <c r="L68"/>
  <c r="L83" s="1"/>
  <c r="K68"/>
  <c r="J68"/>
  <c r="J83" s="1"/>
  <c r="I68"/>
  <c r="Q67"/>
  <c r="P67"/>
  <c r="O67"/>
  <c r="N67"/>
  <c r="M67"/>
  <c r="M82" s="1"/>
  <c r="L67"/>
  <c r="K67"/>
  <c r="J67"/>
  <c r="Z61"/>
  <c r="T76" s="1"/>
  <c r="Y61"/>
  <c r="S76" s="1"/>
  <c r="X61"/>
  <c r="W61"/>
  <c r="U61"/>
  <c r="T61"/>
  <c r="Q61"/>
  <c r="P61"/>
  <c r="O61"/>
  <c r="N61"/>
  <c r="M61"/>
  <c r="L61"/>
  <c r="K61"/>
  <c r="J61"/>
  <c r="H61"/>
  <c r="F61"/>
  <c r="E61"/>
  <c r="AA60"/>
  <c r="AB60" s="1"/>
  <c r="V60"/>
  <c r="R60"/>
  <c r="I60"/>
  <c r="AA59"/>
  <c r="AB59" s="1"/>
  <c r="V59"/>
  <c r="R59"/>
  <c r="I59"/>
  <c r="AA58"/>
  <c r="V58"/>
  <c r="R58"/>
  <c r="T50" i="4"/>
  <c r="T51"/>
  <c r="M51"/>
  <c r="M50"/>
  <c r="J2" i="8"/>
  <c r="M7" i="3"/>
  <c r="G2" i="6"/>
  <c r="A6" i="2"/>
  <c r="A37" s="1"/>
  <c r="K7" i="3" s="1"/>
  <c r="E4" i="6"/>
  <c r="F4"/>
  <c r="G4"/>
  <c r="H4"/>
  <c r="I4"/>
  <c r="J4"/>
  <c r="K4"/>
  <c r="L4"/>
  <c r="M4"/>
  <c r="N4"/>
  <c r="D4"/>
  <c r="D58" i="8" l="1"/>
  <c r="D61" s="1"/>
  <c r="G58"/>
  <c r="G61" s="1"/>
  <c r="C58"/>
  <c r="C18"/>
  <c r="J26"/>
  <c r="L23"/>
  <c r="H21"/>
  <c r="J18"/>
  <c r="E20"/>
  <c r="D67"/>
  <c r="I45"/>
  <c r="D45"/>
  <c r="G41"/>
  <c r="I38"/>
  <c r="K35"/>
  <c r="C39"/>
  <c r="H33"/>
  <c r="C33"/>
  <c r="I28"/>
  <c r="C23"/>
  <c r="H47"/>
  <c r="J44"/>
  <c r="L42"/>
  <c r="H40"/>
  <c r="J37"/>
  <c r="E42"/>
  <c r="D37"/>
  <c r="I32"/>
  <c r="D31"/>
  <c r="C29"/>
  <c r="I25"/>
  <c r="K22"/>
  <c r="G20"/>
  <c r="D25"/>
  <c r="C25"/>
  <c r="L46"/>
  <c r="H44"/>
  <c r="J42"/>
  <c r="L39"/>
  <c r="H37"/>
  <c r="C42"/>
  <c r="D36"/>
  <c r="G32"/>
  <c r="L29"/>
  <c r="D28"/>
  <c r="L24"/>
  <c r="H22"/>
  <c r="J19"/>
  <c r="E23"/>
  <c r="C22"/>
  <c r="K45"/>
  <c r="C46"/>
  <c r="I41"/>
  <c r="K38"/>
  <c r="G36"/>
  <c r="E39"/>
  <c r="J33"/>
  <c r="E33"/>
  <c r="K28"/>
  <c r="I26"/>
  <c r="K23"/>
  <c r="G21"/>
  <c r="I18"/>
  <c r="J22"/>
  <c r="L31"/>
  <c r="C67"/>
  <c r="D46"/>
  <c r="L38"/>
  <c r="C40"/>
  <c r="G31"/>
  <c r="G24"/>
  <c r="K18"/>
  <c r="C37"/>
  <c r="E45"/>
  <c r="L35"/>
  <c r="I33"/>
  <c r="D33"/>
  <c r="H26"/>
  <c r="L20"/>
  <c r="E19"/>
  <c r="I44"/>
  <c r="G40"/>
  <c r="D42"/>
  <c r="H32"/>
  <c r="E28"/>
  <c r="I22"/>
  <c r="D24"/>
  <c r="K44"/>
  <c r="K37"/>
  <c r="E37"/>
  <c r="E31"/>
  <c r="D29"/>
  <c r="J46"/>
  <c r="H42"/>
  <c r="L36"/>
  <c r="E35"/>
  <c r="J29"/>
  <c r="K24"/>
  <c r="G22"/>
  <c r="D23"/>
  <c r="H46"/>
  <c r="L41"/>
  <c r="J36"/>
  <c r="C35"/>
  <c r="H29"/>
  <c r="H24"/>
  <c r="L18"/>
  <c r="K47"/>
  <c r="E44"/>
  <c r="G38"/>
  <c r="L32"/>
  <c r="G28"/>
  <c r="G23"/>
  <c r="D26"/>
  <c r="J24"/>
  <c r="L21"/>
  <c r="H19"/>
  <c r="E22"/>
  <c r="C20"/>
  <c r="G46"/>
  <c r="E46"/>
  <c r="E120" s="1"/>
  <c r="K41"/>
  <c r="G39"/>
  <c r="I36"/>
  <c r="D40"/>
  <c r="L33"/>
  <c r="H31"/>
  <c r="G29"/>
  <c r="D18"/>
  <c r="L47"/>
  <c r="H45"/>
  <c r="C45"/>
  <c r="L40"/>
  <c r="H38"/>
  <c r="J35"/>
  <c r="E38"/>
  <c r="G33"/>
  <c r="E32"/>
  <c r="H28"/>
  <c r="G26"/>
  <c r="I23"/>
  <c r="K20"/>
  <c r="G18"/>
  <c r="D19"/>
  <c r="J47"/>
  <c r="L44"/>
  <c r="D44"/>
  <c r="J40"/>
  <c r="L37"/>
  <c r="H35"/>
  <c r="C38"/>
  <c r="K32"/>
  <c r="C32"/>
  <c r="E29"/>
  <c r="J25"/>
  <c r="L22"/>
  <c r="H20"/>
  <c r="E25"/>
  <c r="C26"/>
  <c r="I46"/>
  <c r="D47"/>
  <c r="G42"/>
  <c r="I39"/>
  <c r="K36"/>
  <c r="C41"/>
  <c r="D35"/>
  <c r="J31"/>
  <c r="I29"/>
  <c r="C28"/>
  <c r="I24"/>
  <c r="K21"/>
  <c r="G19"/>
  <c r="D22"/>
  <c r="H25"/>
  <c r="L19"/>
  <c r="E24"/>
  <c r="C24"/>
  <c r="K46"/>
  <c r="G44"/>
  <c r="I42"/>
  <c r="K39"/>
  <c r="G37"/>
  <c r="E41"/>
  <c r="C36"/>
  <c r="K29"/>
  <c r="D20"/>
  <c r="L45"/>
  <c r="J41"/>
  <c r="H36"/>
  <c r="K33"/>
  <c r="L28"/>
  <c r="K26"/>
  <c r="I21"/>
  <c r="D21"/>
  <c r="J45"/>
  <c r="H41"/>
  <c r="J38"/>
  <c r="D39"/>
  <c r="J28"/>
  <c r="J23"/>
  <c r="H18"/>
  <c r="G47"/>
  <c r="K42"/>
  <c r="I37"/>
  <c r="E36"/>
  <c r="C31"/>
  <c r="G25"/>
  <c r="K19"/>
  <c r="L25"/>
  <c r="H23"/>
  <c r="J20"/>
  <c r="E26"/>
  <c r="E18"/>
  <c r="I47"/>
  <c r="C44"/>
  <c r="I40"/>
  <c r="G35"/>
  <c r="J32"/>
  <c r="C19"/>
  <c r="E47"/>
  <c r="J39"/>
  <c r="D41"/>
  <c r="K31"/>
  <c r="G67"/>
  <c r="I19"/>
  <c r="C21"/>
  <c r="C47"/>
  <c r="H39"/>
  <c r="E40"/>
  <c r="I31"/>
  <c r="L26"/>
  <c r="J21"/>
  <c r="E21"/>
  <c r="G45"/>
  <c r="K40"/>
  <c r="I35"/>
  <c r="D38"/>
  <c r="D32"/>
  <c r="K25"/>
  <c r="I20"/>
  <c r="A88" i="2"/>
  <c r="A86"/>
  <c r="A89"/>
  <c r="A87"/>
  <c r="F76" i="8"/>
  <c r="U51" i="4"/>
  <c r="U50"/>
  <c r="A39" i="2"/>
  <c r="V61" i="8"/>
  <c r="E76"/>
  <c r="S60"/>
  <c r="W130" s="1"/>
  <c r="X137" s="1"/>
  <c r="O70"/>
  <c r="O76" s="1"/>
  <c r="R61"/>
  <c r="L70"/>
  <c r="L82"/>
  <c r="V76"/>
  <c r="AB58"/>
  <c r="AB61" s="1"/>
  <c r="AA61"/>
  <c r="P70"/>
  <c r="P76" s="1"/>
  <c r="P82"/>
  <c r="K83"/>
  <c r="O83"/>
  <c r="J82"/>
  <c r="J70"/>
  <c r="N82"/>
  <c r="N70"/>
  <c r="I83"/>
  <c r="M83"/>
  <c r="M70"/>
  <c r="Q70"/>
  <c r="Q76" s="1"/>
  <c r="J84"/>
  <c r="N84"/>
  <c r="H76"/>
  <c r="R67"/>
  <c r="S59"/>
  <c r="R69"/>
  <c r="K70"/>
  <c r="R68"/>
  <c r="K82"/>
  <c r="O82"/>
  <c r="M84"/>
  <c r="L84"/>
  <c r="P84"/>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H17" i="8" l="1"/>
  <c r="E27"/>
  <c r="D27"/>
  <c r="C128"/>
  <c r="C82"/>
  <c r="I67"/>
  <c r="C70"/>
  <c r="C76" s="1"/>
  <c r="C137" s="1"/>
  <c r="D70"/>
  <c r="D76" s="1"/>
  <c r="D82"/>
  <c r="G17"/>
  <c r="I58"/>
  <c r="C61"/>
  <c r="E17"/>
  <c r="D17"/>
  <c r="S67"/>
  <c r="J27"/>
  <c r="L27"/>
  <c r="H27"/>
  <c r="L17"/>
  <c r="I17"/>
  <c r="K27"/>
  <c r="I27"/>
  <c r="G82"/>
  <c r="G70"/>
  <c r="G76" s="1"/>
  <c r="G27"/>
  <c r="K17"/>
  <c r="J17"/>
  <c r="S6"/>
  <c r="P5" i="3"/>
  <c r="K76" i="8"/>
  <c r="E110"/>
  <c r="E95"/>
  <c r="E114"/>
  <c r="E105"/>
  <c r="E99"/>
  <c r="E119"/>
  <c r="T2"/>
  <c r="T2" i="4"/>
  <c r="L76" i="8"/>
  <c r="AC60"/>
  <c r="AD60" s="1"/>
  <c r="M76"/>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N76"/>
  <c r="J76"/>
  <c r="S69"/>
  <c r="R84"/>
  <c r="W129"/>
  <c r="W137" s="1"/>
  <c r="AC59"/>
  <c r="AD59" s="1"/>
  <c r="R83"/>
  <c r="S68"/>
  <c r="D121"/>
  <c r="D120"/>
  <c r="D119"/>
  <c r="D118"/>
  <c r="D116"/>
  <c r="D115"/>
  <c r="D114"/>
  <c r="D113"/>
  <c r="D112"/>
  <c r="D111"/>
  <c r="D110"/>
  <c r="D109"/>
  <c r="D107"/>
  <c r="D106"/>
  <c r="D105"/>
  <c r="D103"/>
  <c r="D102"/>
  <c r="D100"/>
  <c r="D99"/>
  <c r="D98"/>
  <c r="D97"/>
  <c r="D96"/>
  <c r="D95"/>
  <c r="D94"/>
  <c r="D93"/>
  <c r="D92"/>
  <c r="R82"/>
  <c r="R70"/>
  <c r="S78" i="4"/>
  <c r="B7"/>
  <c r="B12"/>
  <c r="AA60"/>
  <c r="AA59"/>
  <c r="X76"/>
  <c r="W76"/>
  <c r="I76" i="8" l="1"/>
  <c r="S58"/>
  <c r="I61"/>
  <c r="I70"/>
  <c r="I82"/>
  <c r="E104"/>
  <c r="E108"/>
  <c r="E91"/>
  <c r="E117"/>
  <c r="R76"/>
  <c r="Y76" s="1"/>
  <c r="D108"/>
  <c r="D117"/>
  <c r="T68"/>
  <c r="S83"/>
  <c r="T69"/>
  <c r="S84"/>
  <c r="D101"/>
  <c r="D104"/>
  <c r="D91"/>
  <c r="S70"/>
  <c r="S61" l="1"/>
  <c r="AC58"/>
  <c r="S82"/>
  <c r="E122"/>
  <c r="D122"/>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AD58" i="8" l="1"/>
  <c r="AD61" s="1"/>
  <c r="T67"/>
  <c r="AC61"/>
  <c r="T70" s="1"/>
  <c r="K67" i="4"/>
  <c r="L67"/>
  <c r="M67"/>
  <c r="N67"/>
  <c r="O67"/>
  <c r="P67"/>
  <c r="Q67"/>
  <c r="K68"/>
  <c r="L68"/>
  <c r="M68"/>
  <c r="N68"/>
  <c r="O68"/>
  <c r="P68"/>
  <c r="Q68"/>
  <c r="K69"/>
  <c r="L69"/>
  <c r="M69"/>
  <c r="N69"/>
  <c r="O69"/>
  <c r="P69"/>
  <c r="Q69"/>
  <c r="J68"/>
  <c r="J69"/>
  <c r="J67"/>
  <c r="V58" l="1"/>
  <c r="Y61"/>
  <c r="S76" s="1"/>
  <c r="V59"/>
  <c r="Z61"/>
  <c r="T76" s="1"/>
  <c r="F82"/>
  <c r="J82"/>
  <c r="L82"/>
  <c r="O82"/>
  <c r="C83"/>
  <c r="D83"/>
  <c r="F83"/>
  <c r="G76"/>
  <c r="K83"/>
  <c r="L83"/>
  <c r="P83"/>
  <c r="D84"/>
  <c r="E84"/>
  <c r="H84"/>
  <c r="J84"/>
  <c r="K84"/>
  <c r="L84"/>
  <c r="N84"/>
  <c r="O84"/>
  <c r="P84"/>
  <c r="Q70"/>
  <c r="Q76" s="1"/>
  <c r="G82"/>
  <c r="K82"/>
  <c r="E83"/>
  <c r="G83"/>
  <c r="H83"/>
  <c r="J83"/>
  <c r="M83"/>
  <c r="N83"/>
  <c r="C84"/>
  <c r="F84"/>
  <c r="G84"/>
  <c r="M84"/>
  <c r="AA58" l="1"/>
  <c r="U76"/>
  <c r="N70"/>
  <c r="N76" s="1"/>
  <c r="J70"/>
  <c r="J76" s="1"/>
  <c r="X61"/>
  <c r="U61"/>
  <c r="N82"/>
  <c r="T61"/>
  <c r="N61"/>
  <c r="J61"/>
  <c r="I58"/>
  <c r="O70"/>
  <c r="O76" s="1"/>
  <c r="M70"/>
  <c r="M76" s="1"/>
  <c r="I59"/>
  <c r="F76"/>
  <c r="V60"/>
  <c r="V61" s="1"/>
  <c r="Q61"/>
  <c r="M61"/>
  <c r="H76"/>
  <c r="K70"/>
  <c r="K76" s="1"/>
  <c r="I68"/>
  <c r="E76"/>
  <c r="O83"/>
  <c r="R68"/>
  <c r="R83" s="1"/>
  <c r="P70"/>
  <c r="P76" s="1"/>
  <c r="O61"/>
  <c r="R60"/>
  <c r="P61"/>
  <c r="R59"/>
  <c r="P82"/>
  <c r="H82"/>
  <c r="R69"/>
  <c r="R84" s="1"/>
  <c r="I69"/>
  <c r="R67"/>
  <c r="I67"/>
  <c r="M82"/>
  <c r="E82"/>
  <c r="L70"/>
  <c r="L76" s="1"/>
  <c r="D76"/>
  <c r="L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T7"/>
  <c r="T137" i="8" s="1"/>
  <c r="P129"/>
  <c r="P130"/>
  <c r="P128"/>
  <c r="P137"/>
  <c r="P129" i="4"/>
  <c r="C7" i="7"/>
  <c r="S137" i="8"/>
  <c r="L7" i="7"/>
  <c r="N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G118"/>
  <c r="G113"/>
  <c r="G114"/>
  <c r="G99"/>
  <c r="G105"/>
  <c r="G98"/>
  <c r="G119"/>
  <c r="G95"/>
  <c r="G110"/>
  <c r="G94"/>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E137"/>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I137" i="8" l="1"/>
  <c r="J112" i="4"/>
  <c r="J110"/>
  <c r="J99"/>
  <c r="J111"/>
  <c r="J109"/>
  <c r="J107"/>
  <c r="J103"/>
  <c r="J100"/>
  <c r="O101" i="8"/>
  <c r="O104"/>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W128" i="8" l="1"/>
  <c r="U137" s="1"/>
  <c r="V137" s="1"/>
  <c r="Y137" s="1"/>
  <c r="C113" i="4"/>
  <c r="C110"/>
  <c r="C97"/>
  <c r="C116"/>
  <c r="C95"/>
  <c r="C111"/>
  <c r="C92"/>
  <c r="C118"/>
  <c r="C114"/>
  <c r="C102"/>
  <c r="C121"/>
  <c r="C96"/>
  <c r="C115"/>
  <c r="C94"/>
  <c r="C99"/>
  <c r="C119"/>
  <c r="C107"/>
  <c r="C98"/>
  <c r="C100"/>
  <c r="C120"/>
  <c r="C103"/>
  <c r="C105"/>
  <c r="C93"/>
  <c r="C112"/>
  <c r="C109"/>
  <c r="C106"/>
  <c r="C117"/>
  <c r="J104"/>
  <c r="J97"/>
  <c r="S131" i="8"/>
  <c r="M122"/>
  <c r="T122"/>
  <c r="S131" i="4"/>
  <c r="T92"/>
  <c r="Q117"/>
  <c r="M92"/>
  <c r="Q108"/>
  <c r="T120"/>
  <c r="M93"/>
  <c r="T121"/>
  <c r="T95"/>
  <c r="T93"/>
  <c r="M120"/>
  <c r="M121"/>
  <c r="C92" i="8" l="1"/>
  <c r="F92" s="1"/>
  <c r="U92" s="1"/>
  <c r="C99"/>
  <c r="F99" s="1"/>
  <c r="U99" s="1"/>
  <c r="C107"/>
  <c r="F107" s="1"/>
  <c r="U107" s="1"/>
  <c r="C120"/>
  <c r="F120" s="1"/>
  <c r="U120" s="1"/>
  <c r="C112"/>
  <c r="F112" s="1"/>
  <c r="U112" s="1"/>
  <c r="C96"/>
  <c r="F96" s="1"/>
  <c r="U96" s="1"/>
  <c r="C102"/>
  <c r="C121"/>
  <c r="F121" s="1"/>
  <c r="U121" s="1"/>
  <c r="C111"/>
  <c r="F111" s="1"/>
  <c r="U111" s="1"/>
  <c r="C119"/>
  <c r="F119" s="1"/>
  <c r="U119" s="1"/>
  <c r="C95"/>
  <c r="F95" s="1"/>
  <c r="U95" s="1"/>
  <c r="C116"/>
  <c r="F116" s="1"/>
  <c r="U116" s="1"/>
  <c r="C100"/>
  <c r="F100" s="1"/>
  <c r="U100" s="1"/>
  <c r="C110"/>
  <c r="F110" s="1"/>
  <c r="U110" s="1"/>
  <c r="C106"/>
  <c r="F106" s="1"/>
  <c r="U106" s="1"/>
  <c r="C115"/>
  <c r="F115" s="1"/>
  <c r="U115" s="1"/>
  <c r="C93"/>
  <c r="F93" s="1"/>
  <c r="U93" s="1"/>
  <c r="C105"/>
  <c r="F105" s="1"/>
  <c r="U105" s="1"/>
  <c r="C114"/>
  <c r="F114" s="1"/>
  <c r="U114" s="1"/>
  <c r="C97"/>
  <c r="F97" s="1"/>
  <c r="U97" s="1"/>
  <c r="C98"/>
  <c r="F98" s="1"/>
  <c r="U98" s="1"/>
  <c r="C104" i="4"/>
  <c r="C91"/>
  <c r="C101"/>
  <c r="C108"/>
  <c r="C109" i="8"/>
  <c r="F109" s="1"/>
  <c r="U109" s="1"/>
  <c r="C94"/>
  <c r="F94" s="1"/>
  <c r="U94" s="1"/>
  <c r="C103"/>
  <c r="F103" s="1"/>
  <c r="U103" s="1"/>
  <c r="C113"/>
  <c r="F113" s="1"/>
  <c r="U113" s="1"/>
  <c r="C118"/>
  <c r="F118" s="1"/>
  <c r="U118" s="1"/>
  <c r="F102"/>
  <c r="U102" s="1"/>
  <c r="J119" i="4"/>
  <c r="J117" s="1"/>
  <c r="T96"/>
  <c r="L117"/>
  <c r="S91"/>
  <c r="S122" s="1"/>
  <c r="J91"/>
  <c r="M95"/>
  <c r="H91"/>
  <c r="M96"/>
  <c r="Q91"/>
  <c r="Q122" s="1"/>
  <c r="L91"/>
  <c r="R91"/>
  <c r="I91"/>
  <c r="R117"/>
  <c r="M94"/>
  <c r="K91"/>
  <c r="K122" s="1"/>
  <c r="T94"/>
  <c r="C101" i="8" l="1"/>
  <c r="F101" s="1"/>
  <c r="U101" s="1"/>
  <c r="C117"/>
  <c r="F117" s="1"/>
  <c r="U117" s="1"/>
  <c r="C108"/>
  <c r="F108" s="1"/>
  <c r="U108" s="1"/>
  <c r="C104"/>
  <c r="F104" s="1"/>
  <c r="U104" s="1"/>
  <c r="C91"/>
  <c r="F91" s="1"/>
  <c r="U91" s="1"/>
  <c r="C122" i="4"/>
  <c r="J122"/>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U98" s="1"/>
  <c r="N110"/>
  <c r="T110" s="1"/>
  <c r="U110" s="1"/>
  <c r="G104"/>
  <c r="M104" s="1"/>
  <c r="M105"/>
  <c r="U107"/>
  <c r="U99"/>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8" i="1"/>
  <c r="B80"/>
  <c r="B86"/>
  <c r="B88"/>
  <c r="B90"/>
  <c r="B91"/>
  <c r="B22" i="3"/>
  <c r="C121" i="1"/>
  <c r="B120"/>
  <c r="B115"/>
  <c r="B65"/>
  <c r="B66"/>
  <c r="B67"/>
  <c r="B68"/>
  <c r="B69"/>
  <c r="B70"/>
  <c r="B71"/>
  <c r="B72"/>
  <c r="B73"/>
  <c r="B74"/>
  <c r="B75"/>
  <c r="B76"/>
  <c r="B77"/>
  <c r="B87"/>
  <c r="G122" i="4" l="1"/>
  <c r="T97"/>
  <c r="U97" s="1"/>
  <c r="N91"/>
  <c r="T91" s="1"/>
  <c r="U91" s="1"/>
  <c r="T101"/>
  <c r="U101" s="1"/>
  <c r="N119"/>
  <c r="T119" s="1"/>
  <c r="N104"/>
  <c r="T104" s="1"/>
  <c r="U104" s="1"/>
  <c r="T105"/>
  <c r="U105" s="1"/>
  <c r="R137"/>
  <c r="I137"/>
  <c r="R76"/>
  <c r="I76"/>
  <c r="B123" i="1"/>
  <c r="T52" i="4" l="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119"/>
  <c r="N114"/>
  <c r="A1" i="1"/>
  <c r="A1" i="4"/>
  <c r="A1" i="3"/>
  <c r="T114" i="4" l="1"/>
  <c r="N108"/>
  <c r="T108" s="1"/>
  <c r="U108" s="1"/>
  <c r="H117"/>
  <c r="T117"/>
  <c r="I118"/>
  <c r="I116"/>
  <c r="M116" s="1"/>
  <c r="U116" s="1"/>
  <c r="N122" l="1"/>
  <c r="T122" s="1"/>
  <c r="H122"/>
  <c r="M118"/>
  <c r="U118" s="1"/>
  <c r="I115"/>
  <c r="M115" s="1"/>
  <c r="U115" s="1"/>
  <c r="I114" l="1"/>
  <c r="I108" l="1"/>
  <c r="M108" s="1"/>
  <c r="M114"/>
  <c r="U114" s="1"/>
  <c r="M52"/>
  <c r="U52" s="1"/>
  <c r="I119"/>
  <c r="M119" l="1"/>
  <c r="U119" s="1"/>
  <c r="I117"/>
  <c r="I122" l="1"/>
  <c r="M122" s="1"/>
  <c r="U122" s="1"/>
  <c r="R119" i="1" s="1"/>
  <c r="M117" i="4"/>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<sst xmlns="http://schemas.openxmlformats.org/spreadsheetml/2006/main" count="1441" uniqueCount="1129">
  <si>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</si>
  <si>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</si>
  <si>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</si>
  <si>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</si>
  <si>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</si>
  <si>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</si>
  <si>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</si>
  <si>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</si>
  <si>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</si>
  <si>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</si>
  <si>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</si>
  <si>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</si>
  <si>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</si>
  <si>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</si>
  <si>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</si>
  <si>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</si>
  <si>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</si>
  <si>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</si>
  <si>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</si>
  <si>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</si>
  <si>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</si>
  <si>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</si>
  <si>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</si>
  <si>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</si>
  <si>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</si>
  <si>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</si>
  <si>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</si>
  <si>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</si>
  <si>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</si>
  <si>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</si>
  <si>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</si>
  <si>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</si>
  <si>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</si>
  <si>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</si>
  <si>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</si>
  <si>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</si>
  <si>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</si>
  <si>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</si>
  <si>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</si>
  <si>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</si>
  <si>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</si>
  <si>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</si>
  <si>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</si>
  <si>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</si>
  <si>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</si>
  <si>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</si>
  <si>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</si>
  <si>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</si>
  <si>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</si>
  <si>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</si>
  <si>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</si>
  <si>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</si>
  <si>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</si>
  <si>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</si>
  <si>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</si>
  <si>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</si>
  <si>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</si>
  <si>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</si>
  <si>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</si>
  <si>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</si>
  <si>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</si>
  <si>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</si>
  <si>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</si>
  <si>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</si>
  <si>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</si>
  <si>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</si>
  <si>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</si>
  <si>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</si>
  <si>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</si>
  <si>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</si>
  <si>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</si>
  <si>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</si>
  <si>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</si>
  <si>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</si>
  <si>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</si>
  <si>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</si>
  <si>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</si>
  <si>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</si>
  <si>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</si>
  <si>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</si>
  <si>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</si>
  <si>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</si>
  <si>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</si>
  <si>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</si>
  <si>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</si>
  <si>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</si>
  <si>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</si>
  <si>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</si>
  <si>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</si>
  <si>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</si>
  <si>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</si>
  <si>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</si>
  <si>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</si>
  <si>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</si>
  <si>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</si>
  <si>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</si>
  <si>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</si>
  <si>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</si>
  <si>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</si>
  <si>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</si>
  <si>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</si>
  <si>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</si>
  <si>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</si>
  <si>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</si>
  <si>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</si>
  <si>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</si>
  <si>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</si>
  <si>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</si>
  <si>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</si>
  <si>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</si>
  <si>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</si>
  <si>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</si>
  <si>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</si>
  <si>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</si>
  <si>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</si>
  <si>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</si>
  <si>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</si>
  <si>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</si>
  <si>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</si>
  <si>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</si>
  <si>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</si>
  <si>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</si>
  <si>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</si>
  <si>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</si>
  <si>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</si>
  <si>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</si>
  <si>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</si>
  <si>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</si>
  <si>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</si>
  <si>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</si>
  <si>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</si>
  <si>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</si>
  <si>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</si>
  <si>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</si>
  <si>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</si>
  <si>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</si>
  <si>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</si>
  <si>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</si>
  <si>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</si>
  <si>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</si>
  <si>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</si>
  <si>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</si>
  <si>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</si>
  <si>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</si>
  <si>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</si>
  <si>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</si>
  <si>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</si>
  <si>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</si>
  <si>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</si>
  <si>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</si>
  <si>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</si>
  <si>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</si>
  <si>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</si>
  <si>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</si>
  <si>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</si>
  <si>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</si>
  <si>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</si>
  <si>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</si>
  <si>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</si>
  <si>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</si>
  <si>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</si>
  <si>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</si>
  <si>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</si>
  <si>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</si>
  <si>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</si>
  <si>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</si>
  <si>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</si>
  <si>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</si>
  <si>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</si>
  <si>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</si>
  <si>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</si>
  <si>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</si>
  <si>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</si>
  <si>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</si>
  <si>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</si>
  <si>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</si>
  <si>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</si>
  <si>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</si>
  <si>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</si>
  <si>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</si>
  <si>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</si>
  <si>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</si>
  <si>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</si>
  <si>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</si>
  <si>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</si>
  <si>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</si>
  <si>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</si>
  <si>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</si>
  <si>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</si>
  <si>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</si>
  <si>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</si>
  <si>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</si>
  <si>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</si>
  <si>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</si>
  <si>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</si>
  <si>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</si>
  <si>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</si>
  <si>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</si>
  <si>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</si>
  <si>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</si>
  <si>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</si>
  <si>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</si>
  <si>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</si>
  <si>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</si>
  <si>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</si>
  <si>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</si>
  <si>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</si>
  <si>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</si>
  <si>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</si>
  <si>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</si>
  <si>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</si>
  <si>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</si>
  <si>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</si>
  <si>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</si>
  <si>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</si>
  <si>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</si>
  <si>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</si>
  <si>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</si>
  <si>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</si>
  <si>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</si>
  <si>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</si>
  <si>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</si>
  <si>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</si>
  <si>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</si>
  <si>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</si>
  <si>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</si>
  <si>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</si>
  <si>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</si>
  <si>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</si>
  <si>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</si>
  <si>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</si>
  <si>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</si>
  <si>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</si>
  <si>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</si>
  <si>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</si>
  <si>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</si>
  <si>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</si>
  <si>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</si>
  <si>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</si>
  <si>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</si>
  <si>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</si>
  <si>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</si>
  <si>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</si>
  <si>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</si>
  <si>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</si>
  <si>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</si>
  <si>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</si>
  <si>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</si>
  <si>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</si>
  <si>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</si>
  <si>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</si>
  <si>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</si>
  <si>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</si>
  <si>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</si>
  <si>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</si>
  <si>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</si>
  <si>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</si>
  <si>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</si>
  <si>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</si>
  <si>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</si>
  <si>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</si>
  <si>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</si>
  <si>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</si>
  <si>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</si>
  <si>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</si>
  <si>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</si>
  <si>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</si>
  <si>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</si>
  <si>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</si>
  <si>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</si>
  <si>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</si>
  <si>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</si>
  <si>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</si>
  <si>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</si>
  <si>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</si>
  <si>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</si>
  <si>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</si>
  <si>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</si>
  <si>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</si>
  <si>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</si>
  <si>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</si>
  <si>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</si>
  <si>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</si>
  <si>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</si>
  <si>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</si>
  <si>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</si>
  <si>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</si>
  <si>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</si>
  <si>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</si>
  <si>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</si>
  <si>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</si>
  <si>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</si>
  <si>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</si>
  <si>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</si>
  <si>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</si>
  <si>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</si>
  <si>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</si>
  <si>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</si>
  <si>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</si>
  <si>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</si>
  <si>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</si>
  <si>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</si>
  <si>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</si>
  <si>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</si>
  <si>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</si>
  <si>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</si>
  <si>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</si>
  <si>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</si>
  <si>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</si>
  <si>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</si>
  <si>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</si>
  <si>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</si>
  <si>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</si>
  <si>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</si>
  <si>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</si>
  <si>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</si>
  <si>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</si>
  <si>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</si>
  <si>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</si>
  <si>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</si>
  <si>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</si>
  <si>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</si>
  <si>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</si>
  <si>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</si>
  <si>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</si>
  <si>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</si>
  <si>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</si>
  <si>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</si>
  <si>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</si>
  <si>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</si>
  <si>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</si>
  <si>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</si>
  <si>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</si>
  <si>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</si>
  <si>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</si>
  <si>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</si>
  <si>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</si>
  <si>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</si>
  <si>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</si>
  <si>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</si>
  <si>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</si>
  <si>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</si>
  <si>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</si>
  <si>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</si>
  <si>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</si>
  <si>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</si>
  <si>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</si>
  <si>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</si>
  <si>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</si>
  <si>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</si>
  <si>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</si>
  <si>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</si>
  <si>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</si>
  <si>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</si>
  <si>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</si>
  <si>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</si>
  <si>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</si>
  <si>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</si>
  <si>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</si>
  <si>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</si>
  <si>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</si>
  <si>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</si>
  <si>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</si>
  <si>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</si>
  <si>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</si>
  <si>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</si>
  <si>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</si>
  <si>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</si>
  <si>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</si>
  <si>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</si>
  <si>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</si>
  <si>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</si>
  <si>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</si>
  <si>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</si>
  <si>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</si>
  <si>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</si>
  <si>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</si>
  <si>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</si>
  <si>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</si>
  <si>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</si>
  <si>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</si>
  <si>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</si>
  <si>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</si>
  <si>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</si>
  <si>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</si>
  <si>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</si>
  <si>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</si>
  <si>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</si>
  <si>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</si>
  <si>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</si>
  <si>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</si>
  <si>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</si>
  <si>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</si>
  <si>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</si>
  <si>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</si>
  <si>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</si>
  <si>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</si>
  <si>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</si>
  <si>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</si>
  <si>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</si>
  <si>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</si>
  <si>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</si>
  <si>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</si>
  <si>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</si>
  <si>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</si>
  <si>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</si>
  <si>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</si>
  <si>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</si>
  <si>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</si>
  <si>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</si>
  <si>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</si>
  <si>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</si>
  <si>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</si>
  <si>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</si>
  <si>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</si>
  <si>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</si>
  <si>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</si>
  <si>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</si>
  <si>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</si>
  <si>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</si>
  <si>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</si>
  <si>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</si>
  <si>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</si>
  <si>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</si>
  <si>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</si>
  <si>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</si>
  <si>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</si>
  <si>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</si>
  <si>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</si>
  <si>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</si>
  <si>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</si>
  <si>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</si>
  <si>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</si>
  <si>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</si>
  <si>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</si>
  <si>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</si>
  <si>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</si>
  <si>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</si>
  <si>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</si>
  <si>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</si>
  <si>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</si>
  <si>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</si>
  <si>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</si>
  <si>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</si>
  <si>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</si>
  <si>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</si>
  <si>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</si>
  <si>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</si>
  <si>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</si>
  <si>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</si>
  <si>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</si>
  <si>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</si>
  <si>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</si>
  <si>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</si>
  <si>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</si>
  <si>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</si>
  <si>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</si>
  <si>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</si>
  <si>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</si>
  <si>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</si>
  <si>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</si>
  <si>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</si>
  <si>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</si>
  <si>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</si>
  <si>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</si>
  <si>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</si>
  <si>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</si>
  <si>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</si>
  <si>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</si>
  <si>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</si>
  <si>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</si>
  <si>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</si>
  <si>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</si>
  <si>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</si>
  <si>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</si>
  <si>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</si>
  <si>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</si>
  <si>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</si>
  <si>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</si>
  <si>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</si>
  <si>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</si>
  <si>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</si>
  <si>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</si>
  <si>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</si>
  <si>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</si>
  <si>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</si>
  <si>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</si>
  <si>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</si>
  <si>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</si>
  <si>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</si>
  <si>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</si>
  <si>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</si>
  <si>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</si>
  <si>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</si>
  <si>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</si>
  <si>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</si>
  <si>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</si>
  <si>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</si>
  <si>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</si>
  <si>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</si>
  <si>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</si>
  <si>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</si>
  <si>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</si>
  <si>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</si>
  <si>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</si>
  <si>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</si>
  <si>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</si>
  <si>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</si>
  <si>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</si>
  <si>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</si>
  <si>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</si>
  <si>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</si>
  <si>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</si>
  <si>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</si>
  <si>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</si>
  <si>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</si>
  <si>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</si>
  <si>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</si>
  <si>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</si>
  <si>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</si>
  <si>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</si>
  <si>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</si>
  <si>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</si>
  <si>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</si>
  <si>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</si>
  <si>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</si>
  <si>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</si>
  <si>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</si>
  <si>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</si>
  <si>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</si>
  <si>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</si>
  <si>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</si>
  <si>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</si>
  <si>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</si>
  <si>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</si>
  <si>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</si>
  <si>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</si>
  <si>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</si>
  <si>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</si>
  <si>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</si>
  <si>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</si>
  <si>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</si>
  <si>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</si>
  <si>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</si>
  <si>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</si>
  <si>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</si>
  <si>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</si>
  <si>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</si>
  <si>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</si>
  <si>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</si>
  <si>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</si>
  <si>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</si>
  <si>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</si>
  <si>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</si>
  <si>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</si>
  <si>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</si>
  <si>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</si>
  <si>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</si>
  <si>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</si>
  <si>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</si>
  <si>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</si>
  <si>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</si>
  <si>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</si>
  <si>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</si>
  <si>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</si>
  <si>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</si>
  <si>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</si>
  <si>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</si>
  <si>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</si>
  <si>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</si>
  <si>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</si>
  <si>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</si>
  <si>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</si>
  <si>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</si>
  <si>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</si>
  <si>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</si>
  <si>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</si>
  <si>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</si>
  <si>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</si>
  <si>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</si>
  <si>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</si>
  <si>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</si>
  <si>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</si>
  <si>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</si>
  <si>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</si>
  <si>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</si>
  <si>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</si>
  <si>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</si>
  <si>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</si>
  <si>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</si>
  <si>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</si>
  <si>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</si>
  <si>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</si>
  <si>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</si>
  <si>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</si>
  <si>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</si>
  <si>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</si>
  <si>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</si>
  <si>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</si>
  <si>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</si>
  <si>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</si>
  <si>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</si>
  <si>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</si>
  <si>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</si>
  <si>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</si>
  <si>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</si>
  <si>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</si>
  <si>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</si>
  <si>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</si>
  <si>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</si>
  <si>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</si>
  <si>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</si>
  <si>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</si>
  <si>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</si>
  <si>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</si>
  <si>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</si>
  <si>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</si>
  <si>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</si>
  <si>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</si>
  <si>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</si>
  <si>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</si>
  <si>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</si>
  <si>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</si>
  <si>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</si>
  <si>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</si>
  <si>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</si>
  <si>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</si>
  <si>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</si>
  <si>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</si>
  <si>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</si>
  <si>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</si>
  <si>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</si>
  <si>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</si>
  <si>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</si>
  <si>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</si>
  <si>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</si>
  <si>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</si>
  <si>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</si>
  <si>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</si>
  <si>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</si>
  <si>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</si>
  <si>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</si>
  <si>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</si>
  <si>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</si>
  <si>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</si>
  <si>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</si>
  <si>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</si>
  <si>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</si>
  <si>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</si>
  <si>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</si>
  <si>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</si>
  <si>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</si>
  <si>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</si>
  <si>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</si>
  <si>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</si>
  <si>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</si>
  <si>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</si>
  <si>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</si>
  <si>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</si>
  <si>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</si>
  <si>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</si>
  <si>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</si>
  <si>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</si>
  <si>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</si>
  <si>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</si>
  <si>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</si>
  <si>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</si>
  <si>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</si>
  <si>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</si>
  <si>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</si>
  <si>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</si>
  <si>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</si>
  <si>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</si>
  <si>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</si>
  <si>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</si>
  <si>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</si>
  <si>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</si>
  <si>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</si>
  <si>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</si>
  <si>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</si>
  <si>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</si>
  <si>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</si>
  <si>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</si>
  <si>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</si>
  <si>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</si>
  <si>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</si>
  <si>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</si>
  <si>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</si>
  <si>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</si>
  <si>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</si>
  <si>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</si>
  <si>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</si>
  <si>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</si>
  <si>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</si>
  <si>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</si>
  <si>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</si>
  <si>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</si>
  <si>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</si>
  <si>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</si>
  <si>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</si>
  <si>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</si>
  <si>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</si>
  <si>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</si>
  <si>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</si>
  <si>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</si>
  <si>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</si>
  <si>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</si>
  <si>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</si>
  <si>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</si>
  <si>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</si>
  <si>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</si>
  <si>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</si>
  <si>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</si>
  <si>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</si>
  <si>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</si>
  <si>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</si>
  <si>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</si>
  <si>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</si>
  <si>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</si>
  <si>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</si>
  <si>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</si>
  <si>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</si>
  <si>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</si>
  <si>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</si>
  <si>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</si>
  <si>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</si>
  <si>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</si>
  <si>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</si>
  <si>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</si>
  <si>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</si>
  <si>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</si>
  <si>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</si>
  <si>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</si>
  <si>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</si>
  <si>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</si>
  <si>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</si>
  <si>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</si>
  <si>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</si>
  <si>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</si>
  <si>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</si>
  <si>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</si>
  <si>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</si>
  <si>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</si>
  <si>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</si>
  <si>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</si>
  <si>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</si>
  <si>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</si>
  <si>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</si>
  <si>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</si>
  <si>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</si>
  <si>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</si>
  <si>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</si>
  <si>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</si>
  <si>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</si>
  <si>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</si>
  <si>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</si>
  <si>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</si>
  <si>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</si>
  <si>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</si>
  <si>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</si>
  <si>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</si>
  <si>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</si>
  <si>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</si>
  <si>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</si>
  <si>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</si>
  <si>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</si>
  <si>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</si>
  <si>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</si>
  <si>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</si>
  <si>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</si>
  <si>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</si>
  <si>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</si>
  <si>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</si>
  <si>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</si>
  <si>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</si>
  <si>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</si>
  <si>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</si>
  <si>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</si>
  <si>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</si>
  <si>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</si>
  <si>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</si>
  <si>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</si>
  <si>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</si>
  <si>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</si>
  <si>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</si>
  <si>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</si>
  <si>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</si>
  <si>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</si>
  <si>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</si>
  <si>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</si>
  <si>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</si>
  <si>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</si>
  <si>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</si>
  <si>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</si>
  <si>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</si>
  <si>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</si>
  <si>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</si>
  <si>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</si>
  <si>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</si>
  <si>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</si>
  <si>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</si>
  <si>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</si>
  <si>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</si>
  <si>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</si>
  <si>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</si>
  <si>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</si>
  <si>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</si>
  <si>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</si>
  <si>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</si>
  <si>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</si>
  <si>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</si>
  <si>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</si>
  <si>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</si>
  <si>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</si>
  <si>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</si>
  <si>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</si>
  <si>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</si>
  <si>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</si>
  <si>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</si>
  <si>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</si>
  <si>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</si>
  <si>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</si>
  <si>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</si>
  <si>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</si>
  <si>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</si>
  <si>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</si>
  <si>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</si>
  <si>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</si>
  <si>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</si>
  <si>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</si>
  <si>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</si>
  <si>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</si>
  <si>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</si>
  <si>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</si>
  <si>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</si>
  <si>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</si>
  <si>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</si>
  <si>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</si>
  <si>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</si>
  <si>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</si>
  <si>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</si>
  <si>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</si>
  <si>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</si>
  <si>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</si>
  <si>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</si>
  <si>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</si>
  <si>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</si>
  <si>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</si>
  <si>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</si>
  <si>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</si>
  <si>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</si>
  <si>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</si>
  <si>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</si>
  <si>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</si>
  <si>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</si>
  <si>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</si>
  <si>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</si>
  <si>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</si>
  <si>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</si>
  <si>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</si>
  <si>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</si>
  <si>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</si>
  <si>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</si>
  <si>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</si>
  <si>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</si>
  <si>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</si>
  <si>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</si>
  <si>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</si>
  <si>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</si>
  <si>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</si>
  <si>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</si>
  <si>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</si>
  <si>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</si>
  <si>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</si>
  <si>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</si>
  <si>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</si>
  <si>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</si>
  <si>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</si>
  <si>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</si>
  <si>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</si>
  <si>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</si>
  <si>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</si>
  <si>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</si>
  <si>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</si>
  <si>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</si>
  <si>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</si>
  <si>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</si>
  <si>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</si>
  <si>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</si>
  <si>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</si>
  <si>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</si>
  <si>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</si>
  <si>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</si>
  <si>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</si>
  <si>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</si>
  <si>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</si>
  <si>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</si>
  <si>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</si>
  <si>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</si>
  <si>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</si>
  <si>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</si>
  <si>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</si>
  <si>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</si>
  <si>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</si>
  <si>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</si>
  <si>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</si>
  <si>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</si>
  <si>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</si>
  <si>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</si>
  <si>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</si>
  <si>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</si>
  <si>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</si>
  <si>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</si>
  <si>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</si>
  <si>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</si>
  <si>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</si>
  <si>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</si>
  <si>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</si>
  <si>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</si>
  <si>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</si>
  <si>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</si>
  <si>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</si>
  <si>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</si>
  <si>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</si>
  <si>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</si>
  <si>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</si>
  <si>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</si>
  <si>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</si>
  <si>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</si>
  <si>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</si>
  <si>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</si>
  <si>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</si>
  <si>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</si>
  <si>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</si>
  <si>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</si>
  <si>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</si>
  <si>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</si>
  <si>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</si>
  <si>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</si>
  <si>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</si>
  <si>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</si>
  <si>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</si>
  <si>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</si>
  <si>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</si>
  <si>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</si>
  <si>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</si>
  <si>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</si>
  <si>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</si>
  <si>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</si>
  <si>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</si>
  <si>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</si>
  <si>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</si>
  <si>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</si>
  <si>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</si>
  <si>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</si>
  <si>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</si>
  <si>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</si>
  <si>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</si>
  <si>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</si>
  <si>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</si>
  <si>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</si>
  <si>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</si>
  <si>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</si>
  <si>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</si>
  <si>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</si>
  <si>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</si>
  <si>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</si>
  <si>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</si>
  <si>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</si>
  <si>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</si>
  <si>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</si>
  <si>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</si>
  <si>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</si>
  <si>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</si>
  <si>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</si>
  <si>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</si>
  <si>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</si>
  <si>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</si>
  <si>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</si>
  <si>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</si>
  <si>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</si>
  <si>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</si>
  <si>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</si>
  <si>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</si>
  <si>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</si>
  <si>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</si>
  <si>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</si>
  <si>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</si>
  <si>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</si>
  <si>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</si>
  <si>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</si>
  <si>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</si>
  <si>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</si>
  <si>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</si>
  <si>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</si>
  <si>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</si>
  <si>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</si>
  <si>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</si>
  <si>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</si>
  <si>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</si>
  <si>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</si>
  <si>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</si>
  <si>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</si>
  <si>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</si>
  <si>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</si>
  <si>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</si>
  <si>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</si>
  <si>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</si>
  <si>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</si>
  <si>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</si>
  <si>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</si>
  <si>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</si>
  <si>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</si>
  <si>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</si>
  <si>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</si>
  <si>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</si>
  <si>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</si>
  <si>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</si>
  <si>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</si>
  <si>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</si>
  <si>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</si>
  <si>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</si>
  <si>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</si>
  <si>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</si>
  <si>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</si>
  <si>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</si>
  <si>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</si>
  <si>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</si>
  <si>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</si>
  <si>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</si>
  <si>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Sustainable Energy Action Plan of Strovolos Municipality</t>
  </si>
  <si>
    <t>Municipal Council of Strovolos</t>
  </si>
  <si>
    <t>Energy service (Ministry)</t>
  </si>
  <si>
    <t>Energy Efficiency of buildings</t>
  </si>
  <si>
    <t>Increase RES penetration for heating</t>
  </si>
  <si>
    <t>Enrgy efficiency - final use</t>
  </si>
  <si>
    <t>Increase RES penetration for electricity production</t>
  </si>
  <si>
    <t>Increase RES penetration for Hot Water Demand</t>
  </si>
  <si>
    <t>Increase RES penetration for heating/cooling</t>
  </si>
  <si>
    <t>Increase RES penetration for heat water demand</t>
  </si>
  <si>
    <t>Public Lighting</t>
  </si>
  <si>
    <t>Ministry of Communications and works</t>
  </si>
  <si>
    <t>Municipal fleet</t>
  </si>
  <si>
    <t>Private transportation</t>
  </si>
  <si>
    <t>Public Transport</t>
  </si>
  <si>
    <t>Action G1: Planting</t>
  </si>
  <si>
    <t>Action G2: Tree care</t>
  </si>
  <si>
    <t>Green Area</t>
  </si>
  <si>
    <t>Municipal Buildings, equipment/facilities</t>
  </si>
  <si>
    <t>Energy saving</t>
  </si>
  <si>
    <t xml:space="preserve"> </t>
  </si>
  <si>
    <t>Financing sources: 1) Savings as a result of increasing energy efficiency in public buildings and lighting 2) National Support Schemes for energy efficiency and renewable energy sources 3) Participation in National or European projects</t>
  </si>
  <si>
    <t>Cyprus - Paralimni</t>
  </si>
  <si>
    <t>Main target: The increase of citizens awareness on energy efficiency, renewable energy sources and sustainable transport. Priority areas: The tourist industry which represents the highest percentage of energy consumption in the Municipality. The challenge is to convinced hotel and shops owners’ to implement energy efficiency measures for the reduction of energy consumption and CO2 emissions.</t>
  </si>
  <si>
    <t>Creation of Energy Team in Municipality and cooperation with the Cyprus Energy Agency, supporting structure of the Covenant of Mayors.</t>
  </si>
  <si>
    <t>The Energy team is consisted of: The Mayor Municipal General Secretary Municipal Technical Department representative Municipal Financial Department representative Municipal Administrative staff</t>
  </si>
  <si>
    <t>Private sector will be invited to participate and involved to the implementation process of SEAP as well as to the decision making meetings. Furthermore, the contribution of citizens is necessary for the achievement of SEAP target. That’s the reason that Paralimni Municipality focused to actions such raising awareness, training and education of citizens.</t>
  </si>
  <si>
    <t>The total estimated budget for the period 2011-2020 is € 831.000</t>
  </si>
  <si>
    <t>Cooperation with Cyprus Energy Agency for the implementation and the monitoring of SEAP using a monitoring tool (methodology) based on excel spreadsheet.</t>
  </si>
  <si>
    <t>n.a.</t>
  </si>
  <si>
    <t>Icrease of awareness</t>
  </si>
  <si>
    <t>Action R1: Regulation for the Energy Performance of new buildings</t>
  </si>
  <si>
    <t>Action R2: Regulation for the inspection of heating/cooling equipments</t>
  </si>
  <si>
    <t>Action R3: Subsidies for the instalation of solar thermal systems</t>
  </si>
  <si>
    <t>Action R4: Subsidies for the instalation of geothermal heat pumps</t>
  </si>
  <si>
    <t>Action R5: Regulation for the energy efficiency of electric appliances</t>
  </si>
  <si>
    <t>Action R6: Subsidies for the instalation PV and wind systems</t>
  </si>
  <si>
    <t>Action R7: Regulation for the obligation of new buildings to install solar water heaters</t>
  </si>
  <si>
    <t>Action R8: Free distribution of 1000 Stand by killers to the public</t>
  </si>
  <si>
    <t>Paralimni Municipality</t>
  </si>
  <si>
    <t>Action I1: Regulation for the inspection of heating/cooling equipments</t>
  </si>
  <si>
    <t>Action I2: Subsidies for the instalation of solar thermal systems</t>
  </si>
  <si>
    <t>Action I3: Subsidies for cogeneration</t>
  </si>
  <si>
    <t>Action I4: Regulation for the energy efficiency of electric appliances</t>
  </si>
  <si>
    <t>Action I5: Subsidies for the instalation PV and wind systems</t>
  </si>
  <si>
    <t>Action I6: Regulation for the Energy Performance of new buildings</t>
  </si>
  <si>
    <t>Action I7: Regulation for the Energy Performance of existing buildings with area over 1000 m2</t>
  </si>
  <si>
    <t>Action T1: Regulation for the Energy Performance of new buildings</t>
  </si>
  <si>
    <t>Action T2: Regulation for the inspection of heating/cooling equipments</t>
  </si>
  <si>
    <t>Action T3: Subsidies for the instalation of solar thermal systems</t>
  </si>
  <si>
    <t>Action T4: Subsidies for the instalation of geothermal heat pumps</t>
  </si>
  <si>
    <t>Action T5: Regulation for the energy efficiency of electric appliances</t>
  </si>
  <si>
    <t>Action T6: Subsidies for the instalation PV and wind systems</t>
  </si>
  <si>
    <t>Action T7: Regulation for the obligation of new buildings to install solar water heaters</t>
  </si>
  <si>
    <t>Action T8: Regulation for the Energy Performance of existing buildings with area over 1000 m2</t>
  </si>
  <si>
    <t>Action L1: Replacement 500 conventional lamps with new LED lamps</t>
  </si>
  <si>
    <t>Action L2: Optimazation of street lighting working hours</t>
  </si>
  <si>
    <t xml:space="preserve"> Electricity Authoriy of Cyprus - 
Paralimni Municipality</t>
  </si>
  <si>
    <t>Action E2:  Photovoltaic Park 150 kW</t>
  </si>
  <si>
    <t>Action E1:  Wind turbine 30 kW for electricity production</t>
  </si>
  <si>
    <t>Action W1: Free of charge provided services to the citizens (about RES etc)</t>
  </si>
  <si>
    <t>Action W2: Subsidies for energy saving and renewable energy sources</t>
  </si>
  <si>
    <t>Action W3: Booklets distribution</t>
  </si>
  <si>
    <t>Action W4: Radio and TV spots</t>
  </si>
  <si>
    <t>Action W5: Information in Municipality newspaper</t>
  </si>
  <si>
    <t>Action W6: Renewable Energy and energy saving day</t>
  </si>
  <si>
    <t>Action W7: Website informations</t>
  </si>
  <si>
    <t>Action W8: Bicycle motion day (once a year)</t>
  </si>
  <si>
    <t>Action W9: Eco cars day (once a year)</t>
  </si>
  <si>
    <t>Action W10: No lighting day</t>
  </si>
  <si>
    <t xml:space="preserve"> Action W11: Educational presentations for students</t>
  </si>
  <si>
    <t>Action W12: Yearly seminar about RES and Energy Saving</t>
  </si>
  <si>
    <t>Action W13: Yearly seminar about saving energy in touristic sector (hotels, shops, etc)</t>
  </si>
  <si>
    <t>Action W14: Lessons about eco driving to Municipality  employees</t>
  </si>
  <si>
    <t>180</t>
  </si>
  <si>
    <t>Action M2: Power factor installation to the Municipality Building</t>
  </si>
  <si>
    <t xml:space="preserve">Action M3: conventional lamps replacement with fluorescent lamps in the Municipality building </t>
  </si>
  <si>
    <t>Action M5: 20 kW photovoltaics installation to the Municipality Building Parking</t>
  </si>
  <si>
    <t>Action M1: Improvement of the energy efficiency of Municipality Building</t>
  </si>
  <si>
    <t>Action M4: Improvement of the energy efficiency of Municipal Stadium (focused on lighting)</t>
  </si>
  <si>
    <t>Action F1: Replacment of 3 saloon cars, with eco cars</t>
  </si>
  <si>
    <t>Action F2: Optimization of municipal fleet transportation rutes</t>
  </si>
  <si>
    <t>Action F3: Lessons about eco driving</t>
  </si>
  <si>
    <t>Action P1: Increase the share of public transport in Cyprus cities</t>
  </si>
  <si>
    <t xml:space="preserve">Action P2: MOT car inspections and service </t>
  </si>
  <si>
    <t>Action P3: Subsidy scheme for withdrawal from the market of old cars</t>
  </si>
  <si>
    <t>Action P4: Subsidies for new car with low CO2 emissions</t>
  </si>
  <si>
    <t>Action P5: Low Taxes for cars with low CO2 emissions</t>
  </si>
  <si>
    <t>Action P6: Bike Renting system during high touristic season</t>
  </si>
  <si>
    <t>Action P7: Free parking for eco cars (hybrid and electric)</t>
  </si>
  <si>
    <t>Action P8: Improvement of bicycle roots</t>
  </si>
  <si>
    <t>Action P9: Charging point for electric cars (5 places)</t>
  </si>
  <si>
    <t>Paralimni Municipality -  Local market</t>
  </si>
  <si>
    <t>Action P1: Green Public Procurements</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</si>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</sst>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z val="11"/><name val="Calibri"/><family val="2"/></font><font><sz val="11"/><name val="Calibri"/><family val="2"/><charset val="161"/><scheme val="minor"/></font><font><sz val="11"/><name val="Calibri"/><family val="2"/><charset val="161"/></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69"><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3" fontID_"72" fillID_"0" borderID_"4" xfID_"0" applyNumberFormat="1" applyFont="1" applyFill="1" applyBorder="1" applyAlignment="1" applyProtection="1"><alignment horizontal="center" vertical="center" wrapText="1"/><protection locked="0"/></xf><xf numFmtID_"0" fontID_"72" fillID_"0" borderID_"1" xfID_"0" applyFont="1" applyFill="1" applyBorder="1" applyAlignment="1" applyProtection="1"><alignment vertical="top" wrapText="1"/><protection locked="0"/></xf><xf numFmtID_"3" fontID_"72" fillID_"0" borderID_"4" xfID_"0" applyNumberFormat="1" applyFont="1" applyFill="1" applyBorder="1" applyAlignment="1" applyProtection="1"><alignment horizontal="center" vertical="center"/><protection locked="0"/></xf><xf numFmtID_"0" fontID_"73" fillID_"0" borderID_"4" xfID_"0" applyFont="1" applyBorder="1" applyAlignment="1" applyProtection="1"><alignment horizontal="left" vertical="center" wrapText="1"/><protection locked="0"/></xf><xf numFmtID_"0" fontID_"74" fillID_"0" borderID_"1" xfID_"0" applyFont="1" applyFill="1" applyBorder="1" applyAlignment="1" applyProtection="1"><alignment vertical="top" wrapText="1"/><protection locked="0"/></xf><xf numFmtID_"0" fontID_"73" fillID_"2" borderID_"4" xfID_"0" applyFont="1" applyFill="1" applyBorder="1" applyAlignment="1" applyProtection="1"><alignment horizontal="left" vertical="center"/></xf><xf numFmtID_"3" fontID_"4" fillID_"0" borderID_"4" xfID_"0" applyNumberFormat="1" applyFont="1" applyBorder="1" applyAlignment="1" applyProtection="1"><alignment horizontal="center" vertical="center" wrapText="1"/><protection locked="0"/></xf><xf numFmtID_"0" fontID_"73" fillID_"0" borderID_"4" xfID_"0" applyFont="1" applyBorder="1" applyAlignment="1" applyProtection="1"><alignment horizontal="center" vertical="center" wrapText="1"/><protection locked="0"/></xf><xf numFmtID_"0" fontID_"73" fillID_"0" borderID_"4" xfID_"0" applyFont="1" applyBorder="1" applyAlignment="1" applyProtection="1"><alignment horizontal="center" vertical="center"/><protection locked="0"/></xf><xf numFmtID_"3" fontID_"74" fillID_"0" borderID_"1" xfID_"0" applyNumberFormat="1" applyFont="1" applyFill="1" applyBorder="1" applyAlignment="1" applyProtection="1"><alignment vertical="center" wrapText="1"/><protection locked="0"/></xf><xf numFmtID_"3" fontID_"74" fillID_"0" borderID_"4" xfID_"0" applyNumberFormat="1" applyFont="1" applyFill="1" applyBorder="1" applyAlignment="1" applyProtection="1"><alignment horizontal="center" vertical="center" wrapText="1"/><protection locked="0"/></xf><xf numFmtID_"3" fontID_"74" fillID_"0" borderID_"4" xfID_"0" applyNumberFormat="1" applyFont="1" applyFill="1" applyBorder="1" applyAlignment="1" applyProtection="1"><alignment horizontal="center" vertical="center"/><protection locked="0"/></xf><xf numFmtID_"3" fontID_"74" fillID_"0" borderID_"1" xfID_"0" applyNumberFormat="1" applyFont="1" applyFill="1" applyBorder="1" applyAlignment="1" applyProtection="1"><alignment vertical="center"/><protection locked="0"/></xf><xf numFmtID_"3" fontID_"74" fillID_"0" borderID_"4" xfID_"0" applyNumberFormat="1" applyFont="1" applyFill="1" applyBorder="1" applyAlignment="1"><alignment horizontal="center" vertical="center"/></xf><xf numFmtID_"3" fontID_"73" fillID_"0" borderID_"4" xfID_"0" applyNumberFormat="1" applyFont="1" applyBorder="1" applyAlignment="1" applyProtection="1"><alignment horizontal="right" vertical="center" wrapText="1"/><protection locked="0"/></xf><xf numFmtID_"0" fontID_"73" fillID_"0" borderID_"4" xfID_"0" applyFont="1" applyBorder="1" applyAlignment="1" applyProtection="1"><alignment vertical="center" wrapText="1"/></xf><xf numFmtID_"0" fontID_"73" fillID_"0" borderID_"4" xfID_"0" applyFont="1" applyBorder="1" applyAlignment="1" applyProtection="1"><alignment vertical="center" wrapText="1"/><protection locked="0"/></xf><xf numFmtID_"0" fontID_"72" fillID_"0" borderID_"1" xfID_"0" applyFont="1" applyBorder="1" applyAlignment="1" applyProtection="1"><alignment horizontal="center" vertical="top" wrapText="1"/><protection locked="0"/></xf><xf numFmtID_"0" fontID_"72" fillID_"0" borderID_"1" xfID_"0" applyFont="1" applyFill="1" applyBorder="1" applyAlignment="1" applyProtection="1"><alignment horizontal="center" vertical="top" wrapText="1"/><protection locked="0"/></xf><xf numFmtID_"0" fontID_"72" fillID_"0" borderID_"4" xfID_"0" applyFont="1" applyBorder="1" applyAlignment="1" applyProtection="1"><alignment horizontal="center" wrapText="1"/><protection locked="0"/></xf><xf numFmtID_"3" fontID_"72" fillID_"0" borderID_"4" xfID_"0" applyNumberFormat="1" applyFont="1" applyBorder="1" applyAlignment="1" applyProtection="1"><alignment horizontal="center" wrapText="1"/><protection locked="0"/></xf><xf numFmtID_"3" fontID_"72" fillID_"0" borderID_"1" xfID_"0" applyNumberFormat="1" applyFont="1" applyFill="1" applyBorder="1" applyAlignment="1" applyProtection="1"><alignment wrapText="1"/><protection locked="0"/></xf><xf numFmtID_"3" fontID_"72" fillID_"0" borderID_"4" xfID_"0" applyNumberFormat="1" applyFont="1" applyFill="1" applyBorder="1" applyAlignment="1" applyProtection="1"><alignment horizontal="center" wrapText="1"/><protection locked="0"/></xf><xf numFmtID_"0" fontID_"72" fillID_"0" borderID_"1" xfID_"0" applyFont="1" applyFill="1" applyBorder="1" applyAlignment="1" applyProtection="1"><protection locked="0"/></xf><xf numFmtID_"3" fontID_"72" fillID_"0" borderID_"1" xfID_"0" applyNumberFormat="1" applyFont="1" applyFill="1" applyBorder="1" applyAlignment="1" applyProtection="1"><protection locked="0"/></xf><xf numFmtID_"3" fontID_"72" fillID_"0" borderID_"4" xfID_"0" applyNumberFormat="1" applyFont="1" applyFill="1" applyBorder="1" applyAlignment="1" applyProtection="1"><alignment horizontal="center"/><protection locked="0"/></xf><xf numFmtID_"0" fontID_"25" fillID_"3" borderID_"0" xfID_"0" applyFont="1" applyFill="1" applyAlignment="1" applyProtection="1"><alignment horizontal="center" vertical="center" wrapText="1"/></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4" fillID_"0" borderID_"0" xfID_"0" applyFont="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0" borderID_"4" xfID_"0" applyNumberFormat="1" applyFont="1" applyFill="1" applyBorder="1" applyAlignment="1" applyProtection="1"><alignment horizontal="right" vertical="center" wrapText="1"/><protection locked="0"/></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topLeftCell="A4" zoomScale="70" zoomScaleNormal="70" workbookViewID_"0"><selection activeCell="C7" sqref="C7"/></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61" t="str"><f>Translation!$A$31</f><v>Island  Sustainable Energy Action Plan (ISEAP)</v></c><c r="C1" s="261"/><c r="D1" s="88"/><c r="E1" s="88"/><c r="F1" s="88"/><c r="G1" s="88"/><c r="H1" s="88"/><c r="I1" s="88"/><c r="J1" s="88"/><c r="K1" s="88"/><c r="L1" s="88"/><c r="M1" s="88"/><c r="N1" s="88"/></row><row r="2" spans="1:31" s="21" customFormat="1" ht="28.5" customHeight="1"><c r="A2" s="262" t="s"><v>896</v></c><c r="B2" s="262"/><c r="C2" s="121"/><c r="D2" s="82"/><c r="E2" s="82"/><c r="F2" s="84" t="str"><f>Translation!$A$10</f><v>Island</v></c><c r="G2" s="85" t="str"><f>'Start here'!$B$5</f><v>Cyprus - Paralimni</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1052</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64" t="str"><f>Translation!A24</f><v>Contents</v></c><c r="C11" s="264"/></row><row r="12" spans="1:31" ht="15.75"><c r="A12" s="219" t="s"><v>564</v></c><c r="B12" s="263" t="str"><f>Translation!A25</f><v>Is intended to enable the translation of the tables.</v></c><c r="C12" s="263"/></row><row r="13" spans="1:31" ht="15.75"><c r="A13" s="219" t="s"><v>563</v></c><c r="B13" s="265" t="str"><f>Translation!A26</f><v>To insert CO2 emission factors for calculating emissions.</v></c><c r="C13" s="265"/></row><row r="14" spans="1:31" ht="15.75"><c r="A14" s="219" t="s"><v>876</v></c><c r="B14" s="265" t="str"><f>Translation!A27</f><v>To establish ISEAP targets, long-term vision and organizational and financial aspects.</v></c><c r="C14" s="265"/></row><row r="15" spans="1:31" ht="15.75"><c r="A15" s="219" t="s"><v>877</v></c><c r="B15" s="265" t="str"><f>Translation!A28</f><v>To present the baseline energy balance and CO2 emissions inventory.</v></c><c r="C15" s="265"/></row><row r="16" spans="1:31" ht="15.75"><c r="A16" s="219" t="s"><v>924</v></c><c r="B16" s="263" t="str"><f>Translation!A29</f><v>To present the plan energy balance in 2020 and CO2 emissions inventory.</v></c><c r="C16" s="263"/></row><row r="17" spans="1:3" ht="15.75"><c r="A17" s="219" t="s"><v>878</v></c><c r="B17" s="263" t="str"><f>Translation!A30</f><v>To present the list of energy sustainable actions, the investment and reduction of CO2 emissions.</v></c><c r="C17" s="263"/></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66" t="str"><f>Translation!$A$31</f><v>Island  Sustainable Energy Action Plan (ISEAP)</v></c><c r="B1" s="266"/><c r="C1" s="266"/><c r="D1" s="266"/><c r="E1" s="266"/><c r="F1" s="266"/><c r="G1" s="266"/><c r="H1" s="266"/><c r="I1" s="266"/><c r="J1" s="266"/><c r="K1" s="266"/><c r="L1" s="266"/></row><row r="2" spans="1:12" s="21" customFormat="1" ht="28.5" customHeight="1"><c r="A2" s="262" t="s"><v>896</v></c><c r="B2" s="262"/><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24"><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66" t="str"><f>Translation!$A$31</f><v>Island  Sustainable Energy Action Plan (ISEAP)</v></c><c r="C1" s="266"/><c r="D1" s="266"/><c r="E1" s="266"/><c r="F1" s="266"/><c r="G1" s="266"/><c r="H1" s="266"/><c r="I1" s="266"/><c r="J1" s="266"/><c r="K1" s="266"/><c r="L1" s="266"/><c r="M1" s="266"/><c r="N1" s="266"/><c r="O1" s="266"/><c r="P1" s="266"/><c r="Q1" s="266"/><c r="R1" s="266"/><c r="S1" s="266"/><c r="T1" s="266"/></row><row r="2" spans="1:22" s="21" customFormat="1" ht="28.5" customHeight="1"><c r="A2" s="271" t="s"><v>895</v></c><c r="B2" s="271"/><c r="C2" s="271"/><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70"/><c r="B5" s="270"/><c r="C5" s="269" t="str"><f>Translation!A98</f><v>Fossil fuels</v></c><c r="D5" s="269"/><c r="E5" s="269"/><c r="F5" s="269"/><c r="G5" s="269"/><c r="H5" s="269"/><c r="I5" s="269"/><c r="J5" s="269" t="str"><f>Translation!A107</f><v>Renewable energy sources</v></c><c r="K5" s="269"/><c r="L5" s="269"/><c r="M5" s="269"/><c r="N5" s="269"/><c r="O5" s="269"/><c r="P5" s="269"/><c r="Q5" s="269"/><c r="R5" s="269"/><c r="S5" s="270" t="str"><f>Translation!A123</f><v>Electricity</v></c><c r="T5" s="270"/><c r="U5" s="176"/><c r="V5" s="267" t="s"><v>567</v></c></row><row r="6" spans="1:22" ht="49.5" customHeight="1"><c r="A6" s="270"/><c r="B6" s="270"/><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68"/></row><row r="7" spans="1:22" s="174" customFormat="1" ht="20.25" customHeight="1"><c r="A7" s="274" t="str"><f>'Start here'!F7</f><v>IPCC emission factors</v></c><c r="B7" s="275"/><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v>0.874</v></c><c r="T7" s="209"><f>IF($A7=$A9,T9,T10)</f><v>-0.874</v></c><c r="U7" s="180" t="s"><v>567</v></c><c r="V7" s="179" t="s"><v>567</v></c></row><row r="8" spans="1:22" s="59" customFormat="1" ht="30" customHeight="1"><c r="A8" s="54"/><c r="B8" s="54"/></row><row r="9" spans="1:22" s="59" customFormat="1"><c r="A9" s="272" t="str"><f>Translation!A14</f><v>IPCC emission factors</v></c><c r="B9" s="273"/><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72" t="str"><f>Translation!A15</f><v>Life Cicle Analysis (LCA) emission factors</v></c><c r="B10" s="273"/><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10" zoomScale="55" zoomScaleNormal="55" workbookViewID_"0"><selection activeCell="B20" sqref="B20:R20"/></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66" t="str"><f>Translation!$A$31</f><v>Island  Sustainable Energy Action Plan (ISEAP)</v></c><c r="B1" s="266"/><c r="C1" s="266"/><c r="D1" s="266"/><c r="E1" s="266"/><c r="F1" s="266"/><c r="G1" s="266"/><c r="H1" s="266"/><c r="I1" s="266"/><c r="J1" s="266"/><c r="K1" s="266"/><c r="L1" s="266"/><c r="M1" s="266"/><c r="N1" s="266"/><c r="O1" s="266"/><c r="P1" s="266"/><c r="Q1" s="266"/><c r="R1" s="266"/></row><row r="2" spans="1:18" s="21" customFormat="1" ht="28.5" customHeight="1"><c r="A2" s="82"/><c r="B2" s="83" t="s"><v>450</v></c><c r="C2" s="82"/><c r="D2" s="82"/><c r="E2" s="82"/><c r="F2" s="84" t="str"><f>Translation!$A$10</f><v>Island</v></c><c r="G2" s="85" t="str"><f>'Start here'!$B$5</f><v>Cyprus - Paralimni</v></c><c r="H2" s="87"/><c r="I2" s="87"/><c r="J2" s="87"/><c r="K2" s="87"/><c r="L2" s="87"/><c r="M2" s="87"/><c r="N2" s="87"/><c r="O2" s="87"/><c r="P2" s="87"/><c r="Q2" s="87"/><c r="R2" s="87"/></row><row r="3" spans="1:18" ht="28.5" customHeight="1"><c r="A3" s="279"/><c r="B3" s="279"/><c r="C3" s="279"/><c r="D3" s="279"/><c r="E3" s="279"/><c r="F3" s="279"/><c r="G3" s="279"/><c r="H3" s="279"/><c r="I3" s="279"/><c r="J3" s="127"/><c r="K3" s="127"/><c r="Q3" s="27"/></row><row r="4" spans="1:18" ht="39.75" customHeight="1"><c r="A4" s="280" t="str"><f>Translation!A33</f><v>OVERALL STRATEGY</v></c><c r="B4" s="280"/><c r="C4" s="280"/><c r="D4" s="280"/><c r="E4" s="280"/><c r="F4" s="280"/><c r="G4" s="280"/><c r="H4" s="280"/><c r="I4" s="280"/><c r="J4" s="280"/><c r="K4" s="280"/><c r="L4" s="280"/><c r="M4" s="280"/><c r="N4" s="280"/><c r="O4" s="280"/><c r="P4" s="280"/><c r="Q4" s="280"/><c r="R4" s="280"/></row><row r="5" spans="1:18" ht="21"><c r="A5" s="137"/><c r="B5" s="146"/><c r="C5" s="147"/><c r="D5" s="148"/><c r="E5" s="148"/><c r="F5" s="148"/><c r="G5" s="149"/><c r="H5" s="150"/><c r="P5" s="284" t="str"><f>Translation!$A$53</f><v>Mandatory fields</v></c><c r="Q5" s="284"/><c r="R5" s="284"/></row><row r="6" spans="1:18" ht="31.5"><c r="A6" s="166"/><c r="B6" s="167"/><c r="J6" s="168" t="str"><f>Translation!A36</f><v>Absolute reduction</v></c><c r="L6" s="168" t="str"><f>Translation!A38</f><v>Per capita reduction</v></c></row><row r="7" spans="1:18" s="170" customFormat="1" ht="36"><c r="A7" s="119" t="s"><v>0</v></c><c r="B7" s="282" t="str"><f>Translation!A34</f><v>OVERALL CO2 EMISSION REDUCTION TARGET BY 2020</v></c><c r="C7" s="282"/><c r="D7" s="282"/><c r="E7" s="282"/><c r="F7" s="282"/><c r="G7" s="282"/><c r="H7" s="282"/><c r="I7" s="283"/><c r="J7" s="123"><v>0.2</v></c><c r="K7" s="169" t="str"><f>Translation!A37</f><v>or</v></c><c r="L7" s="123"><v>0.2</v></c><c r="M7" s="281" t="str"><f>Translation!$B$35</f><v>Please select the corresponding box</v></c><c r="N7" s="281"/><c r="O7" s="281"/></row><row r="8" spans="1:18" ht="33.75" customHeight="1"><c r="A8" s="137"/><c r="B8" s="146"/><c r="C8" s="147"/><c r="D8" s="148"/><c r="E8" s="148"/><c r="F8" s="148"/><c r="G8" s="149"/><c r="H8" s="150"/><c r="P8" s="126" t="s"><v>1050</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91" t="s"><v>1053</v></c><c r="C10" s="292"/><c r="D10" s="292"/><c r="E10" s="292"/><c r="F10" s="292"/><c r="G10" s="292"/><c r="H10" s="292"/><c r="I10" s="292"/><c r="J10" s="292"/><c r="K10" s="292"/><c r="L10" s="292"/><c r="M10" s="292"/><c r="N10" s="292"/><c r="O10" s="292"/><c r="P10" s="292"/><c r="Q10" s="292"/><c r="R10" s="293"/></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89" t="str"><f>Translation!A42</f><v>Coordination and organisational structures created/assigned</v></c><c r="C13" s="290"/><c r="D13" s="276" t="s"><v>1054</v></c><c r="E13" s="277"/><c r="F13" s="277"/><c r="G13" s="277"/><c r="H13" s="277"/><c r="I13" s="277"/><c r="J13" s="277"/><c r="K13" s="277"/><c r="L13" s="277"/><c r="M13" s="277"/><c r="N13" s="277"/><c r="O13" s="277"/><c r="P13" s="277"/><c r="Q13" s="277"/><c r="R13" s="278"/></row><row r="14" spans="1:18" ht="44.25" customHeight="1"><c r="A14" s="153"/><c r="B14" s="289" t="str"><f>Translation!A43</f><v>Staff capacity allocated</v></c><c r="C14" s="290"/><c r="D14" s="276" t="s"><v>1055</v></c><c r="E14" s="277"/><c r="F14" s="277"/><c r="G14" s="277"/><c r="H14" s="277"/><c r="I14" s="277"/><c r="J14" s="277"/><c r="K14" s="277"/><c r="L14" s="277"/><c r="M14" s="277"/><c r="N14" s="277"/><c r="O14" s="277"/><c r="P14" s="277"/><c r="Q14" s="277"/><c r="R14" s="278"/></row><row r="15" spans="1:18" ht="64.5" customHeight="1"><c r="A15" s="153"/><c r="B15" s="289" t="str"><f>Translation!A44</f><v>Involvement of stakeholders and citizens</v></c><c r="C15" s="290"/><c r="D15" s="276" t="s"><v>1056</v></c><c r="E15" s="277"/><c r="F15" s="277"/><c r="G15" s="277"/><c r="H15" s="277"/><c r="I15" s="277"/><c r="J15" s="277"/><c r="K15" s="277"/><c r="L15" s="277"/><c r="M15" s="277"/><c r="N15" s="277"/><c r="O15" s="277"/><c r="P15" s="277"/><c r="Q15" s="277"/><c r="R15" s="278"/></row><row r="16" spans="1:18" ht="44.25" customHeight="1"><c r="A16" s="153"/><c r="B16" s="289" t="str"><f>Translation!A45</f><v>Overall estimated budget</v></c><c r="C16" s="290"/><c r="D16" s="276" t="s"><v>1057</v></c><c r="E16" s="277"/><c r="F16" s="277"/><c r="G16" s="277"/><c r="H16" s="277"/><c r="I16" s="277"/><c r="J16" s="277"/><c r="K16" s="277"/><c r="L16" s="277"/><c r="M16" s="277"/><c r="N16" s="277"/><c r="O16" s="277"/><c r="P16" s="277"/><c r="Q16" s="277"/><c r="R16" s="278"/></row><row r="17" spans="1:18" ht="44.25" customHeight="1"><c r="A17" s="153"/><c r="B17" s="289" t="str"><f>Translation!A46</f><v>Foreseen financing sources for the investments within your action plan</v></c><c r="C17" s="290"/><c r="D17" s="276" t="s"><v>1051</v></c><c r="E17" s="277"/><c r="F17" s="277"/><c r="G17" s="277"/><c r="H17" s="277"/><c r="I17" s="277"/><c r="J17" s="277"/><c r="K17" s="277"/><c r="L17" s="277"/><c r="M17" s="277"/><c r="N17" s="277"/><c r="O17" s="277"/><c r="P17" s="277"/><c r="Q17" s="277"/><c r="R17" s="278"/></row><row r="18" spans="1:18" ht="44.25" customHeight="1"><c r="A18" s="153"/><c r="B18" s="289" t="str"><f>Translation!A47</f><v>Planned measures for monitoring and follow up</v></c><c r="C18" s="290"/><c r="D18" s="276" t="s"><v>1058</v></c><c r="E18" s="277"/><c r="F18" s="277"/><c r="G18" s="277"/><c r="H18" s="277"/><c r="I18" s="277"/><c r="J18" s="277"/><c r="K18" s="277"/><c r="L18" s="277"/><c r="M18" s="277"/><c r="N18" s="277"/><c r="O18" s="277"/><c r="P18" s="277"/><c r="Q18" s="277"/><c r="R18" s="278"/></row><row r="19" spans="1:18" ht="23.25" customHeight="1"><c r="A19" s="153"/><c r="B19" s="171"/><c r="C19" s="171"/><c r="D19" s="171"/><c r="E19" s="171"/><c r="F19" s="171"/><c r="G19" s="171"/><c r="H19" s="171"/><c r="I19" s="171"/></row><row r="20" spans="1:18" ht="23.25"><c r="A20" s="153"/><c r="B20" s="285" t="str"><f>Translation!A48</f><v xml:space="preserve">Go to the next sheet dedicated to your Baseline Emission Inventory </v></c><c r="C20" s="286"/><c r="D20" s="286"/><c r="E20" s="286"/><c r="F20" s="286"/><c r="G20" s="286"/><c r="H20" s="286"/><c r="I20" s="286"/><c r="J20" s="286"/><c r="K20" s="286"/><c r="L20" s="286"/><c r="M20" s="286"/><c r="N20" s="286"/><c r="O20" s="286"/><c r="P20" s="286"/><c r="Q20" s="286"/><c r="R20" s="286"/></row><row r="21" spans="1:18" ht="13.5" customHeight="1"><c r="A21" s="153"/><c r="B21" s="171"/><c r="C21" s="171"/><c r="D21" s="171"/><c r="E21" s="171"/><c r="F21" s="171"/><c r="G21" s="171"/><c r="H21" s="171"/><c r="I21" s="171"/></row><row r="22" spans="1:18" s="21" customFormat="1" ht="12.75" customHeight="1"><c r="B22" s="28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87"/><c r="D22" s="287"/><c r="E22" s="287"/><c r="F22" s="287"/><c r="G22" s="287"/><c r="H22" s="287"/><c r="I22" s="287"/><c r="J22" s="287"/><c r="K22" s="287"/><c r="L22" s="287"/><c r="M22" s="287"/><c r="N22" s="287"/><c r="O22" s="287"/><c r="P22" s="287"/><c r="Q22" s="287"/><c r="R22" s="287"/></row><row r="23" spans="1:18" s="21" customFormat="1" ht="12.75" customHeight="1"><c r="B23" s="287"/><c r="C23" s="287"/><c r="D23" s="287"/><c r="E23" s="287"/><c r="F23" s="287"/><c r="G23" s="287"/><c r="H23" s="287"/><c r="I23" s="287"/><c r="J23" s="287"/><c r="K23" s="287"/><c r="L23" s="287"/><c r="M23" s="287"/><c r="N23" s="287"/><c r="O23" s="287"/><c r="P23" s="287"/><c r="Q23" s="287"/><c r="R23" s="287"/></row><row r="24" spans="1:18" s="21" customFormat="1" ht="12.75" customHeight="1"><c r="B24" s="287"/><c r="C24" s="287"/><c r="D24" s="287"/><c r="E24" s="287"/><c r="F24" s="287"/><c r="G24" s="287"/><c r="H24" s="287"/><c r="I24" s="287"/><c r="J24" s="287"/><c r="K24" s="287"/><c r="L24" s="287"/><c r="M24" s="287"/><c r="N24" s="287"/><c r="O24" s="287"/><c r="P24" s="287"/><c r="Q24" s="287"/><c r="R24" s="287"/></row><row r="26" spans="1:18" s="172" customFormat="1" ht="15.75"><c r="B26" s="288"/><c r="C26" s="288"/><c r="D26" s="288"/><c r="E26" s="288"/><c r="F26" s="288"/><c r="G26" s="288"/><c r="H26" s="288"/><c r="I26" s="288"/><c r="J26" s="288"/><c r="K26" s="288"/><c r="L26" s="288"/><c r="M26" s="288"/><c r="N26" s="288"/><c r="O26" s="288"/></row></sheetData><mergeCells count="22"><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 ref="D15:R15"/><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82" zoomScale="55" zoomScaleNormal="55" workbookViewID_"0"><selection activeCell="S116" sqref="S116"/></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66" t="str"><f>Translation!$A$31</f><v>Island  Sustainable Energy Action Plan (ISEAP)</v></c><c r="B1" s="266"/><c r="C1" s="266"/><c r="D1" s="266"/><c r="E1" s="266"/><c r="F1" s="266"/><c r="G1" s="266"/><c r="H1" s="266"/><c r="I1" s="266"/><c r="J1" s="266"/><c r="K1" s="266"/><c r="L1" s="266"/><c r="M1" s="266"/><c r="N1" s="266"/><c r="O1" s="266"/><c r="P1" s="266"/><c r="Q1" s="266"/><c r="R1" s="266"/><c r="S1" s="266"/><c r="T1" s="266"/><c r="U1" s="266"/></row><row r="2" spans="1:30" s="21" customFormat="1" ht="28.5" customHeight="1"><c r="A2" s="82"/><c r="B2" s="83" t="s"><v>450</v></c><c r="C2" s="82"/><c r="D2" s="82"/><c r="E2" s="82"/><c r="F2" s="86"/><c r="G2" s="86"/><c r="H2" s="87"/><c r="I2" s="84" t="str"><f>Translation!$A$10</f><v>Island</v></c><c r="J2" s="85" t="str"><f>'Start here'!$B$5</f><v>Cyprus - Paralimni</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80" t="str"><f>Translation!A49</f><v>BASELINE EMISSION INVENTORY</v></c><c r="B4" s="280"/><c r="C4" s="280"/><c r="D4" s="280"/><c r="E4" s="280"/><c r="F4" s="280"/><c r="G4" s="280"/><c r="H4" s="280"/><c r="I4" s="280"/><c r="J4" s="280"/><c r="K4" s="280"/><c r="L4" s="280"/><c r="M4" s="280"/><c r="N4" s="280"/><c r="O4" s="280"/><c r="P4" s="280"/><c r="Q4" s="280"/><c r="R4" s="280"/><c r="S4" s="280"/><c r="T4" s="280"/><c r="U4" s="280"/><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84" t="str"><f>Translation!$A$53</f><v>Mandatory fields</v></c><c r="T6" s="284"/><c r="U6" s="284"/></row><row r="7" spans="1:30" s="135" customFormat="1" ht="36"><c r="A7" s="133" t="s"><v>0</v></c><c r="B7" s="134" t="str"><f>Translation!A50</f><v>GENERAL DATA</v></c><c r="L7" s="136"/></row><row r="8" spans="1:30" ht="21"><c r="A8" s="137"/><c r="B8" s="139" t="str"><f>Translation!A52</f><v>Number of inhabitants</v></c><c r="C8" s="334"><v>13850</v></c><c r="D8" s="335"/><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336" t="str"><f>'Start here'!F7</f><v>IPCC emission factors</v></c><c r="D10" s="336"/><c r="E10" s="336"/><c r="F10" s="336"/><c r="G10" s="336"/><c r="H10" s="336"/><c r="I10" s="336"/><c r="J10" s="336"/><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4" t="str"><f>Translation!A56</f><v>DEMAND SECTOR</v></c><c r="C14" s="296" t="str"><f>Translation!A93</f><v>ENERGY FOR FINAL USE</v></c><c r="D14" s="297"/><c r="E14" s="297"/><c r="F14" s="297"/><c r="G14" s="297"/><c r="H14" s="297"/><c r="I14" s="297"/><c r="J14" s="297"/><c r="K14" s="297"/><c r="L14" s="297"/><c r="M14" s="297"/><c r="N14" s="297"/><c r="O14" s="297"/><c r="P14" s="297"/><c r="Q14" s="297"/><c r="R14" s="297"/><c r="S14" s="297"/><c r="T14" s="297"/><c r="U14" s="298"/></row><row r="15" spans="1:30" s="55" customFormat="1" ht="18" customHeight="1"><c r="B15" s="295"/><c r="C15" s="296" t="str"><f>Translation!A94</f><v>Centralized energy services</v></c><c r="D15" s="297"/><c r="E15" s="297"/><c r="F15" s="298"/><c r="G15" s="296" t="str"><f>Translation!A98</f><v>Fossil fuels</v></c><c r="H15" s="297"/><c r="I15" s="297"/><c r="J15" s="297"/><c r="K15" s="297"/><c r="L15" s="297"/><c r="M15" s="298"/><c r="N15" s="296" t="str"><f>Translation!A105</f><v>Renewable energy sources (excluding electricity and heat sold to public networks)</v></c><c r="O15" s="297"/><c r="P15" s="297"/><c r="Q15" s="297"/><c r="R15" s="297"/><c r="S15" s="297"/><c r="T15" s="298"/><c r="U15" s="294"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95"/></row><row r="17" spans="1:21" s="21" customFormat="1" ht="15.75"><c r="A17" s="22"/><c r="B17" s="70" t="str"><f>Translation!A59</f><v>RESIDENTIAL</v></c><c r="C17" s="124"><v>43070.999999999993</v></c><c r="D17" s="124"><v>0</v></c><c r="E17" s="124"><v>0</v></c><c r="F17" s="68"><v>43070.999999999993</v></c><c r="G17" s="124"><v>19628.474802631579</v></c><c r="H17" s="124"><v>0</v></c><c r="I17" s="124"><v>0</v></c><c r="J17" s="124"><v>2810.747072368421</v></c><c r="K17" s="124"><v>0</v></c><c r="L17" s="124"><v>0</v></c><c r="M17" s="68"><f t="shared" ref="M17:M52" si="0">SUM(G17:L17)</f><v>22439.221874999999</v></c><c r="N17" s="124"><v>0</v></c><c r="O17" s="124"><v>0</v></c><c r="P17" s="124"><v>5412.4945460526314</v></c><c r="Q17" s="124"><v>149.19000986842104</v></c><c r="R17" s="124"><v>0</v></c><c r="S17" s="124"><v>3002.9271217105265</v></c><c r="T17" s="68"><f t="shared" ref="T17" si="1">SUM(N17:S17)</f><v>8564.6116776315794</v></c><c r="U17" s="68"><f t="shared" ref="U17" si="2">F17+M17+T17</f><v>74074.833552631564</v></c></row><row r="18" spans="1:21" s="21" customFormat="1" ht="15.75"><c r="A18" s="22"/><c r="B18" s="197" t="str"><f>Translation!A60</f><v>Hot water</v></c><c r="C18" s="158"><v>1292.1299999999999</v></c><c r="D18" s="158"/><c r="E18" s="158"/><c r="F18" s="68"><v>1292.1299999999999</v></c><c r="G18" s="222"><v>1130.61375</v></c><c r="H18" s="158"/><c r="I18" s="158"/><c r="J18" s="222"><v>80.758124999999993</v></c><c r="K18" s="158"/><c r="L18" s="158"/><c r="M18" s="68"><f t="shared" si="0"/><v>1211.371875</v></c><c r="N18" s="158"/><c r="O18" s="158"><v>0</v></c><c r="P18" s="158"><v>5249.2781249999998</v></c><c r="Q18" s="158"><v>40.379062499999996</v></c><c r="R18" s="158"/><c r="S18" s="158"><v>282.6534375</v></c><c r="T18" s="68"><f t="shared" ref="T18:T52" si="3">SUM(N18:S18)</f><v>5572.3106250000001</v></c><c r="U18" s="68"><f t="shared" ref="U18:U52" si="4">F18+M18+T18</f><v>8075.8125</v></c></row><row r="19" spans="1:21" s="21" customFormat="1" ht="15.75"><c r="A19" s="22"/><c r="B19" s="197" t="str"><f>Translation!A61</f><v>Heating and cooling</v></c><c r="C19" s="158"><v>31011.119999999999</v></c><c r="D19" s="158"/><c r="E19" s="158"/><c r="F19" s="68"><v>31011.119999999999</v></c><c r="G19" s="222"><v>18497.861052631579</v></c><c r="H19" s="158"/><c r="I19" s="158"/><c r="J19" s="222"><v>2176.2189473684211</v></c><c r="K19" s="158"/><c r="L19" s="158"/><c r="M19" s="68"><f t="shared" si="0"/><v>20674.080000000002</v></c><c r="N19" s="158"/><c r="O19" s="158"><v>0</v></c><c r="P19" s="158"><v>163.21642105263157</v></c><c r="Q19" s="158"><v>108.81094736842105</v></c><c r="R19" s="158"/><c r="S19" s="158"><v>2720.2736842105264</v></c><c r="T19" s="68"><f t="shared" si="3"/><v>2992.3010526315793</v></c><c r="U19" s="68"><f t="shared" si="4"/><v>54677.501052631575</v></c></row><row r="20" spans="1:21" s="21" customFormat="1" ht="15.75"><c r="A20" s="22"/><c r="B20" s="197" t="str"><f>Translation!A62</f><v>Lighting</v></c><c r="C20" s="158"><v>1722.8400000000001</v></c><c r="D20" s="158"/><c r="E20" s="158"/><c r="F20" s="68"><v>1722.8400000000001</v></c><c r="G20" s="158"/><c r="H20" s="158"/><c r="I20" s="158"/><c r="J20" s="158"/><c r="K20" s="158"/><c r="L20" s="158"/><c r="M20" s="68"><f t="shared" si="0"/><v>0</v></c><c r="N20" s="158"/><c r="O20" s="158"/><c r="P20" s="158"/><c r="Q20" s="158"/><c r="R20" s="158"/><c r="S20" s="158"/><c r="T20" s="68"><f t="shared" si="3"/><v>0</v></c><c r="U20" s="68"><f t="shared" si="4"/><v>1722.8400000000001</v></c></row><row r="21" spans="1:21" s="21" customFormat="1" ht="15.75"><c r="A21" s="22"/><c r="B21" s="197" t="str"><f>Translation!A63</f><v>Cooking</v></c><c r="C21" s="158"><v>1292.1299999999999</v></c><c r="D21" s="158"/><c r="E21" s="158"/><c r="F21" s="68"><v>1292.1299999999999</v></c><c r="G21" s="158"/><c r="H21" s="158"/><c r="I21" s="158"/><c r="J21" s="222"><v>553.76999999999987</v></c><c r="K21" s="158"/><c r="L21" s="158"/><c r="M21" s="68"><f t="shared" si="0"/><v>553.76999999999987</v></c><c r="N21" s="158"/><c r="O21" s="158"/><c r="P21" s="158"/><c r="Q21" s="158"/><c r="R21" s="158"/><c r="S21" s="158"/><c r="T21" s="68"><f t="shared" si="3"/><v>0</v></c><c r="U21" s="68"><f t="shared" si="4"/><v>1845.8999999999996</v></c></row><row r="22" spans="1:21" s="21" customFormat="1" ht="15.75"><c r="A22" s="22"/><c r="B22" s="197" t="str"><f>Translation!A64</f><v>Refrigerator and freezers</v></c><c r="C22" s="158"/><c r="D22" s="158"/><c r="E22" s="158"/><c r="F22" s="68"><v>0</v></c><c r="G22" s="158"/><c r="H22" s="158"/><c r="I22" s="158"/><c r="J22" s="158"/><c r="K22" s="158"/><c r="L22" s="158"/><c r="M22" s="68"><f t="shared" si="0"/><v>0</v></c><c r="N22" s="158"/><c r="O22" s="158"/><c r="P22" s="158"/><c r="Q22" s="158"/><c r="R22" s="158"/><c r="S22" s="158"/><c r="T22" s="68"><f t="shared" si="3"/><v>0</v></c><c r="U22" s="68"><f t="shared" si="4"/><v>0</v></c></row><row r="23" spans="1:21" s="21" customFormat="1" ht="15.75"><c r="A23" s="22"/><c r="B23" s="197" t="str"><f>Translation!A65</f><v>Laundry machines and dryers</v></c><c r="C23" s="158"/><c r="D23" s="158"/><c r="E23" s="158"/><c r="F23" s="68"><v>0</v></c><c r="G23" s="158"/><c r="H23" s="158"/><c r="I23" s="158"/><c r="J23" s="158"/><c r="K23" s="158"/><c r="L23" s="158"/><c r="M23" s="68"><f t="shared" si="0"/><v>0</v></c><c r="N23" s="158"/><c r="O23" s="158"/><c r="P23" s="158"/><c r="Q23" s="158"/><c r="R23" s="158"/><c r="S23" s="158"/><c r="T23" s="68"><f t="shared" si="3"/><v>0</v></c><c r="U23" s="68"><f t="shared" si="4"/><v>0</v></c></row><row r="24" spans="1:21" s="21" customFormat="1" ht="15.75"><c r="A24" s="22"/><c r="B24" s="197" t="str"><f>Translation!A66</f><v>Dish washing</v></c><c r="C24" s="158"/><c r="D24" s="158"/><c r="E24" s="158"/><c r="F24" s="68"><v>0</v></c><c r="G24" s="158"/><c r="H24" s="158"/><c r="I24" s="158"/><c r="J24" s="158"/><c r="K24" s="158"/><c r="L24" s="158"/><c r="M24" s="68"><f t="shared" si="0"/><v>0</v></c><c r="N24" s="158"/><c r="O24" s="158"/><c r="P24" s="158"/><c r="Q24" s="158"/><c r="R24" s="158"/><c r="S24" s="158"/><c r="T24" s="68"><f t="shared" si="3"/><v>0</v></c><c r="U24" s="68"><f t="shared" si="4"/><v>0</v></c></row><row r="25" spans="1:21" s="21" customFormat="1" ht="15.75"><c r="A25" s="22"/><c r="B25" s="197" t="str"><f>Translation!A67</f><v>Tv sets</v></c><c r="C25" s="158"/><c r="D25" s="158"/><c r="E25" s="158"/><c r="F25" s="68"><v>0</v></c><c r="G25" s="158"/><c r="H25" s="158"/><c r="I25" s="158"/><c r="J25" s="158"/><c r="K25" s="158"/><c r="L25" s="158"/><c r="M25" s="68"><f t="shared" si="0"/><v>0</v></c><c r="N25" s="158"/><c r="O25" s="158"/><c r="P25" s="158"/><c r="Q25" s="158"/><c r="R25" s="158"/><c r="S25" s="158"/><c r="T25" s="68"><f t="shared" si="3"/><v>0</v></c><c r="U25" s="68"><f t="shared" si="4"/><v>0</v></c></row><row r="26" spans="1:21" s="21" customFormat="1" ht="15.75"><c r="A26" s="22"/><c r="B26" s="197" t="str"><f>Translation!A68</f><v>Other electric appliances</v></c><c r="C26" s="158"><v>7752.78</v></c><c r="D26" s="158"/><c r="E26" s="158"/><c r="F26" s="68"><v>7752.78</v></c><c r="G26" s="158"/><c r="H26" s="158"/><c r="I26" s="158"/><c r="J26" s="158"/><c r="K26" s="158"/><c r="L26" s="158"/><c r="M26" s="68"><f t="shared" si="0"/><v>0</v></c><c r="N26" s="158"/><c r="O26" s="158"/><c r="P26" s="158"/><c r="Q26" s="158"/><c r="R26" s="158"/><c r="S26" s="158"/><c r="T26" s="68"><f t="shared" si="3"/><v>0</v></c><c r="U26" s="68"><f t="shared" si="4"/><v>7752.78</v></c></row><row r="27" spans="1:21" s="21" customFormat="1" ht="15.75"><c r="A27" s="22"/><c r="B27" s="70" t="str"><f>Translation!A69</f><v>PRIMARY SECTOR</v></c><c r="C27" s="124"><v>2007</v></c><c r="D27" s="124"/><c r="E27" s="124"/><c r="F27" s="68"><v>2007</v></c><c r="G27" s="124"><v>301.28897626856792</v></c><c r="H27" s="124"><v>0</v></c><c r="I27" s="124"><v>0</v></c><c r="J27" s="124"><v>172.06771976558392</v></c><c r="K27" s="124"><v>0</v></c><c r="L27" s="124"><v>0</v></c><c r="M27" s="68"><f t="shared" si="0"/><v>473.35669603415181</v></c><c r="N27" s="124"><v>0</v></c><c r="O27" s="124"><v>240</v></c><c r="P27" s="124"><v>0</v></c><c r="Q27" s="124"><v>0</v></c><c r="R27" s="124"><v>0</v></c><c r="S27" s="124"><v>803</v></c><c r="T27" s="68"><f t="shared" si="3"/><v>1043</v></c><c r="U27" s="68"><f t="shared" si="4"/><v>3523.3566960341518</v></c></row><row r="28" spans="1:21" s="21" customFormat="1" ht="15.75"><c r="A28" s="22"/><c r="B28" s="198" t="str"><f>Translation!A70</f><v>Agriculture, forestry and fishing</v></c><c r="C28" s="158"><v>2007</v></c><c r="D28" s="158"/><c r="E28" s="158"/><c r="F28" s="68"><v>2007</v></c><c r="G28" s="158"><v>301.28897626856792</v></c><c r="H28" s="158"/><c r="I28" s="158"/><c r="J28" s="158"><v>172.06771976558392</v></c><c r="K28" s="158"/><c r="L28" s="158"/><c r="M28" s="68"><f t="shared" si="0"/><v>473.35669603415181</v></c><c r="N28" s="158"/><c r="O28" s="158"><v>240</v></c><c r="P28" s="158"/><c r="Q28" s="158"/><c r="R28" s="158"/><c r="S28" s="158"><v>803</v></c><c r="T28" s="68"><f t="shared" si="3"/><v>1043</v></c><c r="U28" s="68"><f t="shared" si="4"/><v>3523.3566960341518</v></c></row><row r="29" spans="1:21" s="21" customFormat="1" ht="15.75"><c r="A29" s="22"/><c r="B29" s="198" t="str"><f>Translation!A71</f><v>Mining and quarrying</v></c><c r="C29" s="158"><v>0</v></c><c r="D29" s="158"/><c r="E29" s="158"/><c r="F29" s="68"><v>0</v></c><c r="G29" s="158"><v>0</v></c><c r="H29" s="158"/><c r="I29" s="158"/><c r="J29" s="158"><v>0</v></c><c r="K29" s="158"/><c r="L29" s="158"/><c r="M29" s="68"><f t="shared" si="0"/><v>0</v></c><c r="N29" s="158"/><c r="O29" s="158"/><c r="P29" s="158"/><c r="Q29" s="158"/><c r="R29" s="158"/><c r="S29" s="158"/><c r="T29" s="68"><f t="shared" si="3"/><v>0</v></c><c r="U29" s="68"><f t="shared" si="4"/><v>0</v></c></row><row r="30" spans="1:21" s="21" customFormat="1" ht="15.75"><c r="A30" s="22"/><c r="B30" s="65" t="str"><f>Translation!A72</f><v>SECONDARY SECTOR</v></c><c r="C30" s="124"><v>7164</v></c><c r="D30" s="124"/><c r="E30" s="124"/><c r="F30" s="68"><v>7164</v></c><c r="G30" s="124"><v>1075.453027398117</v></c><c r="H30" s="124"><v>0</v></c><c r="I30" s="124"><v>0</v></c><c r="J30" s="124"><v>614.19688310943866</v></c><c r="K30" s="124"><v>0</v></c><c r="L30" s="124"><v>0</v></c><c r="M30" s="68"><f t="shared" si="0"/><v>1689.6499105075557</v></c><c r="N30" s="124"><v>0</v></c><c r="O30" s="124"><v>0</v></c><c r="P30" s="124"><v>120.17647058823529</v></c><c r="Q30" s="124"><v>0</v></c><c r="R30" s="124"><v>0</v></c><c r="S30" s="124"><v>40.058823529411768</v></c><c r="T30" s="68"><f t="shared" si="3"/><v>160.23529411764707</v></c><c r="U30" s="68"><f t="shared" si="4"/><v>9013.8852046252032</v></c></row><row r="31" spans="1:21" s="21" customFormat="1" ht="15.75"><c r="A31" s="22"/><c r="B31" s="79" t="str"><f>Translation!A73</f><v>Manufacturing</v></c><c r="C31" s="158"><v>2724</v></c><c r="D31" s="158"/><c r="E31" s="158"/><c r="F31" s="68"><v>2724</v></c><c r="G31" s="158"><v>408.92435045121027</v></c><c r="H31" s="158"/><c r="I31" s="158"/><c r="J31" s="158"><v>233.53884835149509</v></c><c r="K31" s="158"/><c r="L31" s="158"/><c r="M31" s="68"><f t="shared" si="0"/><v>642.46319880270539</v></c><c r="N31" s="158"/><c r="O31" s="158"><v>0</v></c><c r="P31" s="158"><v>120.17647058823529</v></c><c r="Q31" s="158"><v>0</v></c><c r="R31" s="158"/><c r="S31" s="158"><v>40.058823529411768</v></c><c r="T31" s="68"><f t="shared" si="3"/><v>160.23529411764707</v></c><c r="U31" s="68"><f t="shared" si="4"/><v>3526.6984929203527</v></c></row><row r="32" spans="1:21" s="21" customFormat="1" ht="30"><c r="A32" s="22"/><c r="B32" s="198" t="str"><f>Translation!A74</f><v>Water supply, sewerage, waste management and remediation activities</v></c><c r="C32" s="158"><v>3785</v></c><c r="D32" s="158"/><c r="E32" s="158"/><c r="F32" s="68"><v>3785</v></c><c r="G32" s="158"><v>568.20068519009942</v></c><c r="H32" s="158"/><c r="I32" s="158"/><c r="J32" s="158"><v>324.50240125198565</v></c><c r="K32" s="158"/><c r="L32" s="158"/><c r="M32" s="68"><f t="shared" si="0"/><v>892.70308644208512</v></c><c r="N32" s="158"/><c r="O32" s="158"/><c r="P32" s="158"><v>0</v></c><c r="Q32" s="158"><v>0</v></c><c r="R32" s="158"/><c r="S32" s="158"><v>0</v></c><c r="T32" s="68"><f t="shared" si="3"/><v>0</v></c><c r="U32" s="68"><f t="shared" si="4"/><v>4677.7030864420849</v></c></row><row r="33" spans="1:21" s="21" customFormat="1" ht="15.75"><c r="A33" s="22"/><c r="B33" s="198" t="str"><f>Translation!A75</f><v>Construction</v></c><c r="C33" s="158"><v>655</v></c><c r="D33" s="158"/><c r="E33" s="158"/><c r="F33" s="68"><v>655</v></c><c r="G33" s="158"><v>98.327991756807165</v></c><c r="H33" s="158"/><c r="I33" s="158"/><c r="J33" s="158"><v>56.155633505957887</v></c><c r="K33" s="158"/><c r="L33" s="158"/><c r="M33" s="68"><f t="shared" si="0"/><v>154.48362526276506</v></c><c r="N33" s="158"/><c r="O33" s="158"><v>0</v></c><c r="P33" s="158"><v>0</v></c><c r="Q33" s="158"><v>0</v></c><c r="R33" s="158"/><c r="S33" s="158"><v>0</v></c><c r="T33" s="68"><f t="shared" si="3"/><v>0</v></c><c r="U33" s="68"><f t="shared" si="4"/><v>809.48362526276503</v></c></row><row r="34" spans="1:21" s="21" customFormat="1" ht="15.75"><c r="A34" s="22"/><c r="B34" s="65" t="str"><f>Translation!A76</f><v>TERTIARY SECTOR</v></c><c r="C34" s="124"><v>91831</v></c><c r="D34" s="124"><v>0</v></c><c r="E34" s="124"><v>0</v></c><c r="F34" s="68"><v>91831</v></c><c r="G34" s="124"><v>13405.783193701736</v></c><c r="H34" s="124"><v>0</v></c><c r="I34" s="124"><v>0</v></c><c r="J34" s="124"><v>7656.1133247565576</v></c><c r="K34" s="124"><v>0</v></c><c r="L34" s="124"><v>0</v></c><c r="M34" s="68"><f t="shared" si="0"/><v>21061.896518458292</v></c><c r="N34" s="124"><v>0</v></c><c r="O34" s="124"><v>0</v></c><c r="P34" s="124"><v>3827.1857142857143</v></c><c r="Q34" s="124"><v>0</v></c><c r="R34" s="124"/><c r="S34" s="124"><v>1275.7285714285715</v></c><c r="T34" s="68"><f t="shared" si="3"/><v>5102.9142857142861</v></c><c r="U34" s="68"><f t="shared" si="4"/><v>117995.81080417258</v></c></row><row r="35" spans="1:21" s="21" customFormat="1" ht="30"><c r="A35" s="22"/><c r="B35" s="198" t="str"><f>Translation!A77</f><v xml:space="preserve">Wholesale and retail trade; repair of motor vehicles and motorcycles </v></c><c r="C35" s="158"><v>15918</v></c><c r="D35" s="158"/><c r="E35" s="158"/><c r="F35" s="68"><v>15918</v></c><c r="G35" s="158"><v>2389.5953782974898</v></c><c r="H35" s="158"><v>0</v></c><c r="I35" s="158"><v>0</v></c><c r="J35" s="158"><v>1364.7104948821948</v></c><c r="K35" s="158"/><c r="L35" s="158"/><c r="M35" s="68"><f t="shared" si="0"/><v>3754.3058731796846</v></c><c r="N35" s="158"/><c r="O35" s="158"><v>0</v></c><c r="P35" s="158"><v>682.2</v></c><c r="Q35" s="158"><v>0</v></c><c r="R35" s="158"/><c r="S35" s="158"><v>227.4</v></c><c r="T35" s="68"><f t="shared" si="3"/><v>909.6</v></c><c r="U35" s="68"><f t="shared" si="4"/><v>20581.905873179683</v></c></row><row r="36" spans="1:21" s="21" customFormat="1" ht="15.75"><c r="A36" s="22"/><c r="B36" s="198" t="str"><f>Translation!A78</f><v>Accomodation and food service activities</v></c><c r="C36" s="158"><v>56712</v></c><c r="D36" s="158"/><c r="E36" s="158"/><c r="F36" s="68"><v>56712</v></c><c r="G36" s="158"><v>8513.5527763542723</v></c><c r="H36" s="158"><v>0</v></c><c r="I36" s="158"><v>0</v></c><c r="J36" s="158"><v>4862.1347899082193</v></c><c r="K36" s="158"/><c r="L36" s="158"/><c r="M36" s="68"><f t="shared" si="0"/><v>13375.687566262492</v></c><c r="N36" s="158"/><c r="O36" s="158"><v>0</v></c><c r="P36" s="158"><v>2430.5142857142855</v></c><c r="Q36" s="158"><v>0</v></c><c r="R36" s="158"/><c r="S36" s="158"><v>810.17142857142858</v></c><c r="T36" s="68"><f t="shared" si="3"/><v>3240.6857142857143</v></c><c r="U36" s="68"><f t="shared" si="4"/><v>73328.373280548214</v></c></row><row r="37" spans="1:21" s="21" customFormat="1" ht="15.75"><c r="A37" s="22"/><c r="B37" s="198" t="str"><f>Translation!A79</f><v>General public administration and social security</v></c><c r="C37" s="158"><v>1087</v></c><c r="D37" s="158"/><c r="E37" s="158"/><c r="F37" s="68"><v>1087</v></c><c r="G37" s="158"><v>163.17943059488456</v></c><c r="H37" s="158"><v>0</v></c><c r="I37" s="158"><v>0</v></c><c r="J37" s="158"><v>93.192631482406441</v></c><c r="K37" s="158"/><c r="L37" s="158"/><c r="M37" s="68"><f t="shared" si="0"/><v>256.37206207729099</v></c><c r="N37" s="158"/><c r="O37" s="158"><v>0</v></c><c r="P37" s="158"><v>46.585714285714289</v></c><c r="Q37" s="158"><v>0</v></c><c r="R37" s="158"/><c r="S37" s="158"><v>15.528571428571428</v></c><c r="T37" s="68"><f t="shared" si="3"/><v>62.114285714285714</v></c><c r="U37" s="68"><f t="shared" si="4"/><v>1405.4863477915767</v></c></row><row r="38" spans="1:21" s="21" customFormat="1" ht="15.75"><c r="A38" s="22"/><c r="B38" s="198" t="str"><f>Translation!A80</f><v>Defense, justice, police and fire departments</v></c><c r="C38" s="158"><v>139</v></c><c r="D38" s="158"/><c r="E38" s="158"/><c r="F38" s="68"><v>139</v></c><c r="G38" s="158"><v>20.866550922436939</v></c><c r="H38" s="158"><v>0</v></c><c r="I38" s="158"><v>0</v></c><c r="J38" s="158"><v>11.916997034088773</v></c><c r="K38" s="158"/><c r="L38" s="158"/><c r="M38" s="68"><f t="shared" si="0"/><v>32.783547956525709</v></c><c r="N38" s="158"/><c r="O38" s="158"><v>0</v></c><c r="P38" s="158"><v>5.9571428571428573</v></c><c r="Q38" s="158"><v>0</v></c><c r="R38" s="158"/><c r="S38" s="158"><v>1.9857142857142858</v></c><c r="T38" s="68"><f t="shared" si="3"/><v>7.9428571428571431</v></c><c r="U38" s="68"><f t="shared" si="4"/><v>179.72640509938284</v></c></row><row r="39" spans="1:21" s="21" customFormat="1" ht="15.75"><c r="A39" s="22"/><c r="B39" s="198" t="str"><f>Translation!A81</f><v>Education</v></c><c r="C39" s="158"><v>1222</v></c><c r="D39" s="158"/><c r="E39" s="158"/><c r="F39" s="68"><v>1222</v></c><c r="G39" s="158"><v>183.44550523178376</v></c><c r="H39" s="158"><v>0</v></c><c r="I39" s="158"><v>0</v></c><c r="J39" s="158"><v>104.76669335004662</v></c><c r="K39" s="158"/><c r="L39" s="158"/><c r="M39" s="68"><f t="shared" si="0"/><v>288.21219858183036</v></c><c r="N39" s="158"/><c r="O39" s="158"><v>0</v></c><c r="P39" s="158"><v>52.371428571428574</v></c><c r="Q39" s="158"><v>0</v></c><c r="R39" s="158"/><c r="S39" s="158"><v>17.457142857142856</v></c><c r="T39" s="68"><f t="shared" si="3"/><v>69.828571428571422</v></c><c r="U39" s="68"><f t="shared" si="4"/><v>1580.0407700104017</v></c></row><row r="40" spans="1:21" s="21" customFormat="1" ht="15.75"><c r="A40" s="22"/><c r="B40" s="198" t="str"><f>Translation!A82</f><v>Human health and social work activities</v></c><c r="C40" s="158"><v>5938</v></c><c r="D40" s="158"/><c r="E40" s="158"/><c r="F40" s="68"><v>5938</v></c><c r="G40" s="158"><v>891.40704588079529</v></c><c r="H40" s="158"><v>0</v></c><c r="I40" s="158"><v>0</v></c><c r="J40" s="158"><v>509.0872545929434</v></c><c r="K40" s="158"/><c r="L40" s="158"/><c r="M40" s="68"><f t="shared" si="0"/><v>1400.4943004737388</v></c><c r="N40" s="158"/><c r="O40" s="158"><v>0</v></c><c r="P40" s="158"><v>254.48571428571429</v></c><c r="Q40" s="158"><v>0</v></c><c r="R40" s="158"/><c r="S40" s="158"><v>84.828571428571422</v></c><c r="T40" s="68"><f t="shared" si="3"/><v>339.31428571428569</v></c><c r="U40" s="68"><f t="shared" si="4"/><v>7677.8085861880245</v></c></row><row r="41" spans="1:21" s="21" customFormat="1" ht="15.75"><c r="A41" s="22"/><c r="B41" s="198" t="str"><f>Translation!A83</f><v>Other services</v></c><c r="C41" s="158"><v>8285</v></c><c r="D41" s="158"/><c r="E41" s="158"/><c r="F41" s="68"><v>8285</v></c><c r="G41" s="158"><v>1243.7365064200724</v></c><c r="H41" s="158"><v>0</v></c><c r="I41" s="158"><v>0</v></c><c r="J41" s="158"><v>710.30446350665818</v></c><c r="K41" s="158"/><c r="L41" s="158"/><c r="M41" s="68"><f t="shared" si="0"/><v>1954.0409699267307</v></c><c r="N41" s="158"/><c r="O41" s="158"><v>0</v></c><c r="P41" s="158"><v>355.07142857142856</v></c><c r="Q41" s="158"><v>0</v></c><c r="R41" s="158"/><c r="S41" s="158"><v>118.35714285714286</v></c><c r="T41" s="68"><f t="shared" si="3"/><v>473.42857142857144</v></c><c r="U41" s="68"><f t="shared" si="4"/><v>10712.469541355302</v></c></row><row r="42" spans="1:21" s="21" customFormat="1" ht="15.75"><c r="A42" s="22"/><c r="B42" s="198" t="str"><f>Translation!A84</f><v>Public lighting</v></c><c r="C42" s="158"><v>2530</v></c><c r="D42" s="158"/><c r="E42" s="158"/><c r="F42" s="68"><v>2530</v></c><c r="G42" s="158"/><c r="H42" s="158"/><c r="I42" s="158"/><c r="J42" s="158"/><c r="K42" s="158"/><c r="L42" s="158"/><c r="M42" s="68"><f t="shared" si="0"/><v>0</v></c><c r="N42" s="158"/><c r="O42" s="158"/><c r="P42" s="158"/><c r="Q42" s="158"/><c r="R42" s="158"/><c r="S42" s="158" t="s"><v>1059</v></c><c r="T42" s="68"><f t="shared" si="3"/><v>0</v></c><c r="U42" s="68"><f t="shared" si="4"/><v>2530</v></c></row><row r="43" spans="1:21" s="21" customFormat="1" ht="15.75"><c r="A43" s="22"/><c r="B43" s="65" t="str"><f>Translation!A85</f><v>TRANSPORTS</v></c><c r="C43" s="124"><v>29</v></c><c r="D43" s="124"/><c r="E43" s="124"/><c r="F43" s="68"><v>29</v></c><c r="G43" s="124"><v>0</v></c><c r="H43" s="124"><v>103148</v></c><c r="I43" s="124"><v>133388</v></c><c r="J43" s="124"><v>0</v></c><c r="K43" s="124"><v>0</v></c><c r="L43" s="124"><v>0</v></c><c r="M43" s="68"><f t="shared" si="0"/><v>236536</v></c><c r="N43" s="124"><v>0</v></c><c r="O43" s="124"><v>0</v></c><c r="P43" s="124"><v>0</v></c><c r="Q43" s="124"><v>0</v></c><c r="R43" s="124"><v>0</v></c><c r="S43" s="124"><v>4730.72</v></c><c r="T43" s="68"><f t="shared" si="3"/><v>4730.72</v></c><c r="U43" s="68"><f t="shared" si="4"/><v>241295.72</v></c></row><row r="44" spans="1:21" s="21" customFormat="1" ht="30"><c r="A44" s="22"/><c r="B44" s="198" t="str"><f>Translation!A86</f><v>Passenger road transport and other passenger road transport services (public transports, taxi, tourism, school buses, etc.)</v></c><c r="C44" s="158"><v>29</v></c><c r="D44" s="158"/><c r="E44" s="158"/><c r="F44" s="68"><v>29</v></c><c r="G44" s="158"/><c r="H44" s="158"><v>2062.96</v></c><c r="I44" s="158"><v>2667.76</v></c><c r="J44" s="158"><v>0</v></c><c r="K44" s="158"/><c r="L44" s="158"/><c r="M44" s="68"><f t="shared" si="0"/><v>4730.72</v></c><c r="N44" s="158"/><c r="O44" s="158"/><c r="P44" s="158"/><c r="Q44" s="158"/><c r="R44" s="158"/><c r="S44" s="158"><v>94.614400000000003</v></c><c r="T44" s="68"><f t="shared" si="3"/><v>94.614400000000003</v></c><c r="U44" s="68"><f t="shared" si="4"/><v>4854.3344000000006</v></c></row><row r="45" spans="1:21" s="21" customFormat="1" ht="15.75"><c r="A45" s="22"/><c r="B45" s="198" t="str"><f>Translation!A87</f><v>Freight transport by road and removal services</v></c><c r="C45" s="158"><v>0</v></c><c r="D45" s="158"/><c r="E45" s="158"/><c r="F45" s="68"><v>0</v></c><c r="G45" s="158"/><c r="H45" s="158"><v>33007.360000000001</v></c><c r="I45" s="158"><v>42684.160000000003</v></c><c r="J45" s="158"><v>0</v></c><c r="K45" s="158"/><c r="L45" s="158"/><c r="M45" s="68"><f t="shared" si="0"/><v>75691.520000000004</v></c><c r="N45" s="158"/><c r="O45" s="158"/><c r="P45" s="158"/><c r="Q45" s="158"/><c r="R45" s="158"/><c r="S45" s="158"><v>1513.8304000000001</v></c><c r="T45" s="68"><f t="shared" si="3"/><v>1513.8304000000001</v></c><c r="U45" s="68"><f t="shared" si="4"/><v>77205.35040000001</v></c></row><row r="46" spans="1:21" s="21" customFormat="1" ht="15.75"><c r="A46" s="22"/><c r="B46" s="198" t="str"><f>Translation!A88</f><v>Other fleet for public and private services</v></c><c r="C46" s="158"><v>0</v></c><c r="D46" s="158"/><c r="E46" s="158"/><c r="F46" s="68"><v>0</v></c><c r="G46" s="158"/><c r="H46" s="158"><v>0</v></c><c r="I46" s="158"><v>0</v></c><c r="J46" s="158"><v>0</v></c><c r="K46" s="158"/><c r="L46" s="158"/><c r="M46" s="68"><f t="shared" si="0"/><v>0</v></c><c r="N46" s="158"/><c r="O46" s="158"/><c r="P46" s="158"/><c r="Q46" s="158"/><c r="R46" s="158"/><c r="S46" s="158"><v>0</v></c><c r="T46" s="68"><f t="shared" si="3"/><v>0</v></c><c r="U46" s="68"><f t="shared" si="4"/><v>0</v></c></row><row r="47" spans="1:21" s="21" customFormat="1" ht="15.75"><c r="A47" s="22"/><c r="B47" s="197" t="str"><f>Translation!A89</f><v>Private transports</v></c><c r="C47" s="158"><v>0</v></c><c r="D47" s="158"/><c r="E47" s="158"/><c r="F47" s="68"><v>0</v></c><c r="G47" s="158"/><c r="H47" s="158"><v>68077.680000000008</v></c><c r="I47" s="158"><v>88036.08</v></c><c r="J47" s="158"><v>0</v></c><c r="K47" s="158"/><c r="L47" s="158"/><c r="M47" s="68"><f t="shared" si="0"/><v>156113.76</v></c><c r="N47" s="158"/><c r="O47" s="158"/><c r="P47" s="158"/><c r="Q47" s="158"/><c r="R47" s="158"/><c r="S47" s="158"><v>3122.2752</v></c><c r="T47" s="68"><f t="shared" si="3"/><v>3122.2752</v></c><c r="U47" s="68"><f t="shared" si="4"/><v>159236.03520000001</v></c></row><row r="48" spans="1:21" s="21" customFormat="1" ht="15.75"><c r="A48" s="22"/><c r="B48" s="77" t="str"><f>Translation!A117</f><v>TOTAL FOR INTERNAL MARKET</v></c><c r="C48" s="159"><v>144102</v></c><c r="D48" s="159"><v>0</v></c><c r="E48" s="159"><v>0</v></c><c r="F48" s="68"><v>144102</v></c><c r="G48" s="69"><v>34411</v></c><c r="H48" s="69"><v>103148</v></c><c r="I48" s="69"><v>133388</v></c><c r="J48" s="69"><v>11253.125000000002</v></c><c r="K48" s="69"><v>0</v></c><c r="L48" s="69"><v>0</v></c><c r="M48" s="68"><f t="shared" si="0"/><v>282200.125</v></c><c r="N48" s="69"><v>0</v></c><c r="O48" s="69"><v>240</v></c><c r="P48" s="69"><v>9359.8567309265818</v></c><c r="Q48" s="69"><v>149.19000986842104</v></c><c r="R48" s="69"><v>0</v></c><c r="S48" s="69"><v>9852.4345166685089</v></c><c r="T48" s="68"><f t="shared" si="3"/><v>19601.481257463514</v></c><c r="U48" s="68"><f t="shared" si="4"/><v>445903.60625746351</v></c></row><row r="49" spans="2:32" s="66" customFormat="1" ht="30"><c r="B49" s="197" t="str"><f>Translation!A90</f><v>Reexportation (ships, airplanes, industrial free zones, national and international militar installations, etc.)</v></c><c r="C49" s="158"><v>0</v></c><c r="D49" s="158"><v>0</v></c><c r="E49" s="158"><v>0</v></c><c r="F49" s="68"><v>0</v></c><c r="G49" s="158"/><c r="H49" s="158"/><c r="I49" s="158"/><c r="J49" s="158"/><c r="K49" s="158"/><c r="L49" s="158"/><c r="M49" s="68"><f t="shared" si="0"/><v>0</v></c><c r="N49" s="158"/><c r="O49" s="158"/><c r="P49" s="158"/><c r="Q49" s="158"/><c r="R49" s="158"/><c r="S49" s="158"/><c r="T49" s="68"><f t="shared" si="3"/><v>0</v></c><c r="U49" s="68"><f t="shared" si="4"/><v>0</v></c></row><row r="50" spans="2:32" s="66" customFormat="1" ht="30"><c r="B50" s="197" t="str"><f>Translation!A91</f><v>Activities with intensive use of energy for exportation (to exclude in the island energy balance)</v></c><c r="C50" s="158"><v>0</v></c><c r="D50" s="158"><v>0</v></c><c r="E50" s="158"><v>0</v></c><c r="F50" s="68"><v>0</v></c><c r="G50" s="158"/><c r="H50" s="158"/><c r="I50" s="158"/><c r="J50" s="158"/><c r="K50" s="158"/><c r="L50" s="158"/><c r="M50" s="68"><f t="shared" si="0"/><v>0</v></c><c r="N50" s="158"/><c r="O50" s="158"/><c r="P50" s="158"/><c r="Q50" s="158"/><c r="R50" s="158"/><c r="S50" s="158"/><c r="T50" s="68"><f t="shared" si="3"/><v>0</v></c><c r="U50" s="68"><f t="shared" si="4"/><v>0</v></c></row><row r="51" spans="2:32" s="66" customFormat="1" ht="15.75"><c r="B51" s="197" t="str"><f>Translation!A92</f><v>Other (to exclude in the island energy balance)</v></c><c r="C51" s="158"><v>0</v></c><c r="D51" s="158"><v>0</v></c><c r="E51" s="158"><v>0</v></c><c r="F51" s="68"><v>0</v></c><c r="G51" s="158"/><c r="H51" s="158"/><c r="I51" s="158"/><c r="J51" s="158"/><c r="K51" s="158"/><c r="L51" s="158"/><c r="M51" s="68"><f t="shared" si="0"/><v>0</v></c><c r="N51" s="158"/><c r="O51" s="158"/><c r="P51" s="158"/><c r="Q51" s="158"/><c r="R51" s="158"/><c r="S51" s="158"/><c r="T51" s="68"><f t="shared" si="3"/><v>0</v></c><c r="U51" s="68"><f t="shared" si="4"/><v>0</v></c></row><row r="52" spans="2:32" s="55" customFormat="1" ht="15.75"><c r="B52" s="77" t="str"><f>Translation!A118</f><v>TOTAL</v></c><c r="C52" s="57"><v>144102</v></c><c r="D52" s="57"><v>0</v></c><c r="E52" s="57"><v>0</v></c><c r="F52" s="68"><v>144102</v></c><c r="G52" s="57"><v>34411</v></c><c r="H52" s="57"><v>103148</v></c><c r="I52" s="57"><v>133388</v></c><c r="J52" s="57"><v>11253.125000000002</v></c><c r="K52" s="57"><v>0</v></c><c r="L52" s="57"><v>0</v></c><c r="M52" s="68"><f t="shared" si="0"/><v>282200.125</v></c><c r="N52" s="57"><v>0</v></c><c r="O52" s="57"><v>240</v></c><c r="P52" s="57"><v>9359.8567309265818</v></c><c r="Q52" s="57"><v>149.19000986842104</v></c><c r="R52" s="57"><v>0</v></c><c r="S52" s="57"><v>9852.4345166685089</v></c><c r="T52" s="68"><f t="shared" si="3"/><v>19601.481257463514</v></c><c r="U52" s="68"><f t="shared" si="4"/><v>445903.60625746351</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4" t="str"><f>Translation!A120</f><v>PRODUCTION SECTOR</v></c><c r="C55" s="296" t="str"><f>Translation!A121</f><v>ENERGY SOURCE</v></c><c r="D55" s="297"/><c r="E55" s="297"/><c r="F55" s="297"/><c r="G55" s="297"/><c r="H55" s="297"/><c r="I55" s="297"/><c r="J55" s="297"/><c r="K55" s="297"/><c r="L55" s="297"/><c r="M55" s="297"/><c r="N55" s="297"/><c r="O55" s="297"/><c r="P55" s="297"/><c r="Q55" s="297"/><c r="R55" s="297"/><c r="S55" s="298"/><c r="T55" s="296" t="str"><f>Translation!A138</f><v>SECONDARY ENERGY CONVERSION</v></c><c r="U55" s="297"/><c r="V55" s="298"/><c r="W55" s="315" t="str"><f>Translation!A129</f><v>ENERGY FLUXES</v></c><c r="X55" s="316"/><c r="Y55" s="316"/><c r="Z55" s="316"/><c r="AA55" s="316"/><c r="AB55" s="317"/><c r="AC55" s="327" t="str"><f>Translation!A118</f><v>TOTAL</v></c><c r="AD55" s="269" t="str"><f>Translation!A137</f><v>Distribution losses and self-consumption</v></c></row><row r="56" spans="2:32" s="55" customFormat="1" ht="18" customHeight="1"><c r="B56" s="295"/><c r="C56" s="331" t="str"><f>Translation!A98</f><v>Fossil fuels</v></c><c r="D56" s="332"/><c r="E56" s="332"/><c r="F56" s="332"/><c r="G56" s="332"/><c r="H56" s="332"/><c r="I56" s="333"/><c r="J56" s="331" t="str"><f>Translation!A106</f><v>Renewable energy sources (from systems connected to public networks)</v></c><c r="K56" s="332"/><c r="L56" s="332"/><c r="M56" s="332"/><c r="N56" s="332"/><c r="O56" s="332"/><c r="P56" s="332"/><c r="Q56" s="332"/><c r="R56" s="333"/><c r="S56" s="269" t="str"><f>Translation!A116</f><v>Subtotal</v></c><c r="T56" s="325" t="str"><f>Translation!A139</f><v>Electricity conversion to cold</v></c><c r="U56" s="325" t="str"><f>Translation!A140</f><v>Heat conversion to cold</v></c><c r="V56" s="269" t="str"><f>Translation!A116</f><v>Subtotal</v></c><c r="W56" s="329" t="str"><f>Translation!A130</f><v>Storage</v></c><c r="X56" s="330"/><c r="Y56" s="328" t="str"><f>Translation!A133</f><v>External connection</v></c><c r="Z56" s="328"/><c r="AA56" s="294" t="str"><f>Translation!A136</f><v>Reexportation and external consumption</v></c><c r="AB56" s="269" t="str"><f>Translation!A116</f><v>Subtotal</v></c><c r="AC56" s="327"/><c r="AD56" s="269"/></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69"/><c r="T57" s="326"/><c r="U57" s="326"/><c r="V57" s="269"/><c r="W57" s="117" t="str"><f>Translation!A131</f><v>Input to storage</v></c><c r="X57" s="117" t="str"><f>Translation!A132</f><v>Output from storage</v></c><c r="Y57" s="117" t="str"><f>Translation!A134</f><v>Import to island</v></c><c r="Z57" s="117" t="str"><f>Translation!A135</f><v>Export from island</v></c><c r="AA57" s="295"/><c r="AB57" s="269"/><c r="AC57" s="327"/><c r="AD57" s="269"/></row><row r="58" spans="2:32" s="55" customFormat="1" ht="15.75"><c r="B58" s="199" t="str"><f>Translation!A123</f><v>Electricity</v></c><c r="C58" s="164"><v>142085</v></c><c r="D58" s="164"><v>2017</v></c><c r="E58" s="164"/><c r="F58" s="164"/><c r="G58" s="164"/><c r="H58" s="164"/><c r="I58" s="63"><f>SUM(C58:H58)</f><v>144102</v></c><c r="J58" s="164"/><c r="K58" s="164"/><c r="L58" s="164"/><c r="M58" s="164"/><c r="N58" s="164"/><c r="O58" s="164"/><c r="P58" s="164"/><c r="Q58" s="164"/><c r="R58" s="63"><f>SUM(J58:Q58)</f><v>0</v></c><c r="S58" s="63"><f>I58+R58</f><v>144102</v></c><c r="T58" s="164"/><c r="U58" s="164"/><c r="V58" s="63"><f>-T58</f><v>0</v></c><c r="W58" s="164"/><c r="X58" s="164"/><c r="Y58" s="164"/><c r="Z58" s="164"/><c r="AA58" s="201"><f>$C$49+$C$50+$C$51</f><v>0</v></c><c r="AB58" s="63"><f>-SUM(W58)+SUM(X58:Y58)-SUM(Z58:AA58)</f><v>0</v></c><c r="AC58" s="68"><f>S58+V58+AB58</f><v>144102</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v>142085</v></c><c r="D61" s="57"><v>2017</v></c><c r="E61" s="57"><v>0</v></c><c r="F61" s="57"><v>0</v></c><c r="G61" s="57"><v>0</v></c><c r="H61" s="57"><v>0</v></c><c r="I61" s="57"><f t="shared" ref="I61:AD61" si="5">SUM(I58:I60)</f><v>144102</v></c><c r="J61" s="57"><f t="shared" si="5"/><v>0</v></c><c r="K61" s="57"><f t="shared" si="5"/><v>0</v></c><c r="L61" s="57"><f t="shared" si="5"/><v>0</v></c><c r="M61" s="57"><f t="shared" si="5"/><v>0</v></c><c r="N61" s="57"><f t="shared" si="5"/><v>0</v></c><c r="O61" s="57"><f t="shared" si="5"/><v>0</v></c><c r="P61" s="57"><f t="shared" si="5"/><v>0</v></c><c r="Q61" s="57"><f t="shared" si="5"/><v>0</v></c><c r="R61" s="57"><f t="shared" si="5"/><v>0</v></c><c r="S61" s="57"><f t="shared" si="5"/><v>144102</v></c><c r="T61" s="57"><f t="shared" si="5"/><v>0</v></c><c r="U61" s="57"><f t="shared" si="5"/><v>0</v></c><c r="V61" s="57"><f t="shared" si="5"/><v>0</v></c><c r="W61" s="57"><f t="shared" si="5"/><v>0</v></c><c r="X61" s="57"><f t="shared" si="5"/><v>0</v></c><c r="Y61" s="57"><f t="shared" si="5"/><v>0</v></c><c r="Z61" s="57"><f t="shared" si="5"/><v>0</v></c><c r="AA61" s="57"><f t="shared" si="5"/><v>0</v></c><c r="AB61" s="57"><f t="shared" si="5"/><v>0</v></c><c r="AC61" s="57"><f t="shared" si="5"/><v>144102</v></c><c r="AD61" s="57"><f t="shared" si="5"/><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4" t="str"><f>Translation!A120</f><v>PRODUCTION SECTOR</v></c><c r="C64" s="322" t="str"><f>Translation!A142</f><v>PRIMARY ENERGY SOURCE</v></c><c r="D64" s="323"/><c r="E64" s="323"/><c r="F64" s="323"/><c r="G64" s="323"/><c r="H64" s="323"/><c r="I64" s="323"/><c r="J64" s="323"/><c r="K64" s="323"/><c r="L64" s="323"/><c r="M64" s="323"/><c r="N64" s="323"/><c r="O64" s="323"/><c r="P64" s="323"/><c r="Q64" s="323"/><c r="R64" s="323"/><c r="S64" s="324"/><c r="T64" s="318" t="str"><f>Translation!A127</f><v>Conversion losses from primary to secondary energy</v></c><c r="U64" s="61"/><c r="V64" s="61"/><c r="W64" s="72"/><c r="X64" s="61"/><c r="Y64" s="61"/><c r="Z64" s="61"/><c r="AA64" s="61"/><c r="AB64" s="61"/><c r="AC64" s="61"/><c r="AD64" s="61"/><c r="AE64" s="61"/></row><row r="65" spans="2:32" s="55" customFormat="1" ht="15" customHeight="1"><c r="B65" s="295"/><c r="C65" s="322" t="str"><f>Translation!A98</f><v>Fossil fuels</v></c><c r="D65" s="323"/><c r="E65" s="323"/><c r="F65" s="323"/><c r="G65" s="323"/><c r="H65" s="323"/><c r="I65" s="324"/><c r="J65" s="322" t="str"><f>Translation!A107</f><v>Renewable energy sources</v></c><c r="K65" s="323"/><c r="L65" s="323"/><c r="M65" s="323"/><c r="N65" s="323"/><c r="O65" s="323"/><c r="P65" s="323"/><c r="Q65" s="323"/><c r="R65" s="324"/><c r="S65" s="321" t="str"><f>Translation!A118</f><v>TOTAL</v></c><c r="T65" s="319"/><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21"/><c r="T66" s="320"/><c r="U66" s="61"/><c r="V66" s="61"/><c r="W66" s="72"/><c r="X66" s="61"/><c r="Y66" s="61"/><c r="Z66" s="61"/><c r="AA66" s="61"/><c r="AB66" s="61"/><c r="AC66" s="61"/><c r="AD66" s="61"/><c r="AE66" s="61"/></row><row r="67" spans="2:32" s="55" customFormat="1" ht="15.75"><c r="B67" s="199" t="str"><f>Translation!A123</f><v>Electricity</v></c><c r="C67" s="164"><v>443695.02761161141</v></c><c r="D67" s="164"><v>8068</v></c><c r="E67" s="164"/><c r="F67" s="164"/><c r="G67" s="164"/><c r="H67" s="164"/><c r="I67" s="63"><f>SUM(C67:H67)</f><v>451763.02761161141</v></c><c r="J67" s="200"><f>J58</f><v>0</v></c><c r="K67" s="200"><f t="shared" ref="K67:Q67" si="6">K58</f><v>0</v></c><c r="L67" s="200"><f t="shared" si="6"/><v>0</v></c><c r="M67" s="200"><f t="shared" si="6"/><v>0</v></c><c r="N67" s="200"><f t="shared" si="6"/><v>0</v></c><c r="O67" s="200"><f t="shared" si="6"/><v>0</v></c><c r="P67" s="200"><f t="shared" si="6"/><v>0</v></c><c r="Q67" s="200"><f t="shared" si="6"/><v>0</v></c><c r="R67" s="63"><f>SUM(J67:Q67)</f><v>0</v></c><c r="S67" s="63"><f>I67+R67</f><v>451763.02761161141</v></c><c r="T67" s="75"><f>S67-AC58+AB58</f><v>307661.02761161141</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7">J59</f><v>0</v></c><c r="K68" s="200"><f t="shared" si="7"/><v>0</v></c><c r="L68" s="200"><f t="shared" si="7"/><v>0</v></c><c r="M68" s="200"><f t="shared" si="7"/><v>0</v></c><c r="N68" s="200"><f t="shared" si="7"/><v>0</v></c><c r="O68" s="200"><f t="shared" si="7"/><v>0</v></c><c r="P68" s="200"><f t="shared" si="7"/><v>0</v></c><c r="Q68" s="200"><f t="shared" si="7"/><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7"/><v>0</v></c><c r="K69" s="200"><f t="shared" si="7"/><v>0</v></c><c r="L69" s="200"><f t="shared" si="7"/><v>0</v></c><c r="M69" s="200"><f t="shared" si="7"/><v>0</v></c><c r="N69" s="200"><f t="shared" si="7"/><v>0</v></c><c r="O69" s="200"><f t="shared" si="7"/><v>0</v></c><c r="P69" s="200"><f t="shared" si="7"/><v>0</v></c><c r="Q69" s="200"><f t="shared" si="7"/><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v>443695.02761161141</v></c><c r="D70" s="57"><v>8068</v></c><c r="E70" s="57"><v>0</v></c><c r="F70" s="57"><v>0</v></c><c r="G70" s="57"><v>0</v></c><c r="H70" s="57"><v>0</v></c><c r="I70" s="57"><f t="shared" ref="I70:S70" si="8">SUM(I67:I69)</f><v>451763.02761161141</v></c><c r="J70" s="57"><f t="shared" si="8"/><v>0</v></c><c r="K70" s="57"><f t="shared" si="8"/><v>0</v></c><c r="L70" s="57"><f t="shared" si="8"/><v>0</v></c><c r="M70" s="57"><f t="shared" si="8"/><v>0</v></c><c r="N70" s="57"><f t="shared" si="8"/><v>0</v></c><c r="O70" s="57"><f t="shared" si="8"/><v>0</v></c><c r="P70" s="57"><f t="shared" si="8"/><v>0</v></c><c r="Q70" s="57"><f t="shared" si="8"/><v>0</v></c><c r="R70" s="57"><f t="shared" si="8"/><v>0</v></c><c r="S70" s="57"><f t="shared" si="8"/><v>451763.02761161141</v></c><c r="T70" s="75"><f>S70-AC61+AB61</f><v>307661.02761161141</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37" t="str"><f>Translation!A122</f><v>Energy product</v></c><c r="C73" s="296" t="str"><f>Translation!A142</f><v>PRIMARY ENERGY SOURCE</v></c><c r="D73" s="297"/><c r="E73" s="297"/><c r="F73" s="297"/><c r="G73" s="297"/><c r="H73" s="297"/><c r="I73" s="297"/><c r="J73" s="297"/><c r="K73" s="297"/><c r="L73" s="297"/><c r="M73" s="297"/><c r="N73" s="297"/><c r="O73" s="297"/><c r="P73" s="297"/><c r="Q73" s="297"/><c r="R73" s="297"/><c r="S73" s="297"/><c r="T73" s="297"/><c r="U73" s="297"/><c r="V73" s="297"/><c r="W73" s="297"/><c r="X73" s="297"/><c r="Y73" s="298"/></row><row r="74" spans="2:32" s="55" customFormat="1" ht="15" customHeight="1"><c r="B74" s="338"/><c r="C74" s="296" t="str"><f>Translation!A98</f><v>Fossil fuels</v></c><c r="D74" s="297"/><c r="E74" s="297"/><c r="F74" s="297"/><c r="G74" s="297"/><c r="H74" s="297"/><c r="I74" s="298"/><c r="J74" s="296" t="str"><f>Translation!A107</f><v>Renewable energy sources</v></c><c r="K74" s="297"/><c r="L74" s="297"/><c r="M74" s="297"/><c r="N74" s="297"/><c r="O74" s="297"/><c r="P74" s="297"/><c r="Q74" s="297"/><c r="R74" s="298"/><c r="S74" s="315" t="str"><f>Translation!A123</f><v>Electricity</v></c><c r="T74" s="316"/><c r="U74" s="316"/><c r="V74" s="317"/><c r="W74" s="74" t="str"><f>Translation!A124</f><v>Heat</v></c><c r="X74" s="74" t="str"><f>Translation!A125</f><v>Cold</v></c><c r="Y74" s="294" t="str"><f>Translation!A118</f><v>TOTAL</v></c></row><row r="75" spans="2:32" s="55" customFormat="1" ht="46.5" customHeight="1"><c r="B75" s="339"/><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95"/></row><row r="76" spans="2:32" s="55" customFormat="1" ht="15.75"><c r="B76" s="114" t="str"><f>Translation!A118</f><v>TOTAL</v></c><c r="C76" s="201"><f>G48+C70</f><v>478106.02761161141</v></c><c r="D76" s="201"><f t="shared" ref="D76:H76" si="9">H48+D70</f><v>111216</v></c><c r="E76" s="201"><f t="shared" si="9"/><v>133388</v></c><c r="F76" s="201"><f t="shared" si="9"/><v>11253.125000000002</v></c><c r="G76" s="201"><f t="shared" si="9"/><v>0</v></c><c r="H76" s="201"><f t="shared" si="9"/><v>0</v></c><c r="I76" s="57"><f>SUM(C76:H76)</f><v>733963.15261161141</v></c><c r="J76" s="201"><f t="shared" ref="J76:O76" si="10">N48+J70</f><v>0</v></c><c r="K76" s="201"><f t="shared" si="10"/><v>240</v></c><c r="L76" s="201"><f t="shared" si="10"/><v>9359.8567309265818</v></c><c r="M76" s="201"><f t="shared" si="10"/><v>149.19000986842104</v></c><c r="N76" s="201"><f t="shared" si="10"/><v>0</v></c><c r="O76" s="201"><f t="shared" si="10"/><v>9852.4345166685089</v></c><c r="P76" s="201"><f>P70</f><v>0</v></c><c r="Q76" s="201"><f>Q70</f><v>0</v></c><c r="R76" s="57"><f>SUM(J76:Q76)</f><v>19601.481257463514</v></c><c r="S76" s="201"><f>Y61</f><v>0</v></c><c r="T76" s="201"><f>Z61</f><v>0</v></c><c r="U76" s="201"><f>$C$49+$C$50+$C$51</f><v>0</v></c><c r="V76" s="57"><f>S76-T76-U76</f><v>0</v></c><c r="W76" s="201"><f>$D$49+$D$50+$D$51</f><v>0</v></c><c r="X76" s="201"><f>$E$49+$E$50+$E$51</f><v>0</v></c><c r="Y76" s="57"><f>I76+R76+V76-W76-X76</f><v>753564.63386907498</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4" t="str"><f>Translation!A120</f><v>PRODUCTION SECTOR</v></c><c r="C79" s="322" t="str"><f>Translation!A142</f><v>PRIMARY ENERGY SOURCE</v></c><c r="D79" s="323"/><c r="E79" s="323"/><c r="F79" s="323"/><c r="G79" s="323"/><c r="H79" s="323"/><c r="I79" s="323"/><c r="J79" s="323"/><c r="K79" s="323"/><c r="L79" s="323"/><c r="M79" s="323"/><c r="N79" s="323"/><c r="O79" s="323"/><c r="P79" s="323"/><c r="Q79" s="323"/><c r="R79" s="323"/><c r="S79" s="324"/><c r="T79" s="72"/><c r="V79" s="61"/><c r="W79" s="61"/><c r="X79" s="72"/><c r="Y79" s="61"/><c r="Z79" s="61"/><c r="AA79" s="61"/><c r="AB79" s="61"/><c r="AC79" s="61"/><c r="AD79" s="61"/><c r="AE79" s="61"/><c r="AF79" s="61"/></row><row r="80" spans="2:32" s="55" customFormat="1" ht="15" customHeight="1"><c r="B80" s="295"/><c r="C80" s="322" t="str"><f>Translation!A98</f><v>Fossil fuels</v></c><c r="D80" s="323"/><c r="E80" s="323"/><c r="F80" s="323"/><c r="G80" s="323"/><c r="H80" s="323"/><c r="I80" s="324"/><c r="J80" s="322" t="str"><f>Translation!A107</f><v>Renewable energy sources</v></c><c r="K80" s="323"/><c r="L80" s="323"/><c r="M80" s="323"/><c r="N80" s="323"/><c r="O80" s="323"/><c r="P80" s="323"/><c r="Q80" s="323"/><c r="R80" s="324"/><c r="S80" s="321"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21"/><c r="T81" s="72"/><c r="V81" s="61"/><c r="W81" s="61"/><c r="X81" s="72"/><c r="Y81" s="61"/><c r="Z81" s="61"/><c r="AA81" s="61"/><c r="AB81" s="61"/><c r="AC81" s="61"/><c r="AD81" s="61"/><c r="AE81" s="61"/><c r="AF81" s="61"/></row><row r="82" spans="1:32" s="55" customFormat="1" ht="15.75"><c r="B82" s="199" t="str"><f>Translation!A123</f><v>Electricity</v></c><c r="C82" s="203"><f>IF(C67&gt;0,C58/C67,"-")</f><v>0.32023121999999998</v></c><c r="D82" s="203"><f>IF(D67&gt;0,D58/D67,"-")</f><v>0.25</v></c><c r="E82" s="203" t="str"><f t="shared" ref="E82:P82" si="11">IF(E67&gt;0,E58/E67,"-")</f><v>-</v></c><c r="F82" s="203" t="str"><f t="shared" si="11"/><v>-</v></c><c r="G82" s="203" t="str"><f t="shared" si="11"/><v>-</v></c><c r="H82" s="203" t="str"><f t="shared" si="11"/><v>-</v></c><c r="I82" s="71"><f t="shared" si="11"/><v>0.31897696622461769</v></c><c r="J82" s="203" t="str"><f t="shared" si="11"/><v>-</v></c><c r="K82" s="203" t="str"><f t="shared" si="11"/><v>-</v></c><c r="L82" s="203" t="str"><f t="shared" si="11"/><v>-</v></c><c r="M82" s="203" t="str"><f t="shared" si="11"/><v>-</v></c><c r="N82" s="203" t="str"><f t="shared" si="11"/><v>-</v></c><c r="O82" s="203" t="str"><f t="shared" si="11"/><v>-</v></c><c r="P82" s="203" t="str"><f t="shared" si="11"/><v>-</v></c><c r="Q82" s="203" t="s"><v>567</v></c><c r="R82" s="71" t="str"><f t="shared" ref="R82:S84" si="12">IF(R67&gt;0,R58/R67,"-")</f><v>-</v></c><c r="S82" s="71"><f t="shared" si="12"/><v>0.31897696622461769</v></c><c r="T82" s="62"/><c r="V82" s="61"/><c r="W82" s="61"/><c r="X82" s="62"/><c r="Y82" s="61"/><c r="Z82" s="61"/><c r="AA82" s="61"/><c r="AB82" s="61"/><c r="AC82" s="61"/><c r="AD82" s="61"/><c r="AE82" s="61"/><c r="AF82" s="61"/></row><row r="83" spans="1:32" s="55" customFormat="1" ht="15.75"><c r="B83" s="199" t="str"><f>Translation!A124</f><v>Heat</v></c><c r="C83" s="203" t="str"><f t="shared" ref="C83:P83" si="13">IF(C68&gt;0,C59/C68,"-")</f><v>-</v></c><c r="D83" s="203" t="str"><f t="shared" si="13"/><v>-</v></c><c r="E83" s="203" t="str"><f t="shared" si="13"/><v>-</v></c><c r="F83" s="203" t="str"><f t="shared" si="13"/><v>-</v></c><c r="G83" s="203" t="str"><f t="shared" si="13"/><v>-</v></c><c r="H83" s="203" t="str"><f t="shared" si="13"/><v>-</v></c><c r="I83" s="71" t="str"><f t="shared" si="13"/><v>-</v></c><c r="J83" s="203" t="str"><f t="shared" si="13"/><v>-</v></c><c r="K83" s="203" t="str"><f t="shared" si="13"/><v>-</v></c><c r="L83" s="203" t="str"><f t="shared" si="13"/><v>-</v></c><c r="M83" s="203" t="str"><f t="shared" si="13"/><v>-</v></c><c r="N83" s="203" t="str"><f t="shared" si="13"/><v>-</v></c><c r="O83" s="203" t="str"><f t="shared" si="13"/><v>-</v></c><c r="P83" s="203" t="str"><f t="shared" si="13"/><v>-</v></c><c r="Q83" s="203" t="s"><v>567</v></c><c r="R83" s="71" t="str"><f t="shared" si="12"/><v>-</v></c><c r="S83" s="71" t="str"><f t="shared" si="12"/><v>-</v></c><c r="T83" s="62"/><c r="V83" s="61"/><c r="W83" s="61"/><c r="X83" s="62"/><c r="Y83" s="61"/><c r="Z83" s="61"/><c r="AA83" s="61"/><c r="AB83" s="61"/><c r="AC83" s="61"/><c r="AD83" s="61"/><c r="AE83" s="61"/><c r="AF83" s="61"/></row><row r="84" spans="1:32" s="55" customFormat="1" ht="15.75"><c r="B84" s="199" t="str"><f>Translation!A125</f><v>Cold</v></c><c r="C84" s="203" t="str"><f t="shared" ref="C84:P84" si="14">IF(C69&gt;0,C60/C69,"-")</f><v>-</v></c><c r="D84" s="203" t="str"><f t="shared" si="14"/><v>-</v></c><c r="E84" s="203" t="str"><f t="shared" si="14"/><v>-</v></c><c r="F84" s="203" t="str"><f t="shared" si="14"/><v>-</v></c><c r="G84" s="203" t="str"><f t="shared" si="14"/><v>-</v></c><c r="H84" s="203" t="str"><f t="shared" si="14"/><v>-</v></c><c r="I84" s="71" t="str"><f t="shared" si="14"/><v>-</v></c><c r="J84" s="203" t="str"><f t="shared" si="14"/><v>-</v></c><c r="K84" s="203" t="str"><f t="shared" si="14"/><v>-</v></c><c r="L84" s="203" t="str"><f t="shared" si="14"/><v>-</v></c><c r="M84" s="203" t="str"><f t="shared" si="14"/><v>-</v></c><c r="N84" s="203" t="str"><f t="shared" si="14"/><v>-</v></c><c r="O84" s="203" t="str"><f t="shared" si="14"/><v>-</v></c><c r="P84" s="203" t="str"><f t="shared" si="14"/><v>-</v></c><c r="Q84" s="203" t="s"><v>567</v></c><c r="R84" s="71" t="str"><f t="shared" si="12"/><v>-</v></c><c r="S84" s="71" t="str"><f t="shared" si="12"/><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25" t="str"><f>Translation!A56</f><v>DEMAND SECTOR</v></c><c r="C88" s="299" t="str"><f>Translation!A93</f><v>ENERGY FOR FINAL USE</v></c><c r="D88" s="300"/><c r="E88" s="300"/><c r="F88" s="300"/><c r="G88" s="300"/><c r="H88" s="300"/><c r="I88" s="300"/><c r="J88" s="300"/><c r="K88" s="300"/><c r="L88" s="300"/><c r="M88" s="300"/><c r="N88" s="300"/><c r="O88" s="300"/><c r="P88" s="300"/><c r="Q88" s="300"/><c r="R88" s="300"/><c r="S88" s="300"/><c r="T88" s="300"/><c r="U88" s="301"/></row><row r="89" spans="1:32" s="55" customFormat="1" ht="18" customHeight="1"><c r="B89" s="326"/><c r="C89" s="299" t="str"><f>Translation!A94</f><v>Centralized energy services</v></c><c r="D89" s="300"/><c r="E89" s="300"/><c r="F89" s="301"/><c r="G89" s="299" t="str"><f>Translation!A98</f><v>Fossil fuels</v></c><c r="H89" s="300"/><c r="I89" s="300"/><c r="J89" s="300"/><c r="K89" s="300"/><c r="L89" s="300"/><c r="M89" s="301"/><c r="N89" s="299" t="str"><f>Translation!A105</f><v>Renewable energy sources (excluding electricity and heat sold to public networks)</v></c><c r="O89" s="300"/><c r="P89" s="300"/><c r="Q89" s="300"/><c r="R89" s="300"/><c r="S89" s="300"/><c r="T89" s="301"/><c r="U89" s="308"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310"/></row><row r="91" spans="1:32" s="21" customFormat="1" ht="15.75"><c r="A91" s="22"/><c r="B91" s="70" t="str"><f>Translation!A59</f><v>RESIDENTIAL</v></c><c r="C91" s="68"><f>SUM(C92:C100)</f><v>37644.030298916463</v></c><c r="D91" s="68"><f>SUM(D92:D100)</f><v>0</v></c><c r="E91" s="68"><f>SUM(E92:E100)</f><v>0</v></c><c r="F91" s="68"><f t="shared" ref="F91:F122" si="15">SUM(C91:E91)</f><v>37644.030298916463</v></c><c r="G91" s="68"><f t="shared" ref="G91:L91" si="16">SUM(G92:G100)</f><v>5476.3444699342108</v></c><c r="H91" s="68"><f t="shared" si="16"/><v>0</v></c><c r="I91" s="68"><f t="shared" si="16"/><v>0</v></c><c r="J91" s="68"><f t="shared" si="16"/><v>674.57929736842107</v></c><c r="K91" s="68"><f t="shared" si="16"/><v>0</v></c><c r="L91" s="68"><f t="shared" si="16"/><v>0</v></c><c r="M91" s="68"><f t="shared" ref="M91:M122" si="17">SUM(G91:L91)</f><v>6150.9237673026319</v></c><c r="N91" s="68"><f t="shared" ref="N91:S91" si="18">SUM(N92:N100)</f><v>0</v></c><c r="O91" s="68"><f t="shared" si="18"/><v>0</v></c><c r="P91" s="68"><f t="shared" si="18"/><v>0</v></c><c r="Q91" s="68"><f t="shared" si="18"/><v>0</v></c><c r="R91" s="68"><f t="shared" si="18"/><v>0</v></c><c r="S91" s="68"><f t="shared" si="18"/><v>0</v></c><c r="T91" s="68"><f t="shared" ref="T91:T122" si="19">SUM(N91:S91)</f><v>0</v></c><c r="U91" s="68"><f t="shared" ref="U91:U122" si="20">F91+M91+T91</f><v>43794.954066219092</v></c></row><row r="92" spans="1:32" s="21" customFormat="1" ht="15.75"><c r="A92" s="22"/><c r="B92" s="197" t="str"><f>Translation!A60</f><v>Hot water</v></c><c r="C92" s="200"><f t="shared" ref="C92:C100" si="21">IF(C$48&gt;0, ($S$128+$V$137)/C$48,0)*C18</f><v>1129.320908967494</v></c><c r="D92" s="200"><f t="shared" ref="D92:D100" si="22">IF(D$48&gt;0, ($S$129)/D$48,0)*D18</f><v>0</v></c><c r="E92" s="200"><f t="shared" ref="E92:E100" si="23">IF(E$48&gt;0, ($S$130)/E$48,0)*E18</f><v>0</v></c><c r="F92" s="68"><f t="shared" si="15"/><v>1129.320908967494</v></c><c r="G92" s="200"><f>'CO2 factors'!C$7*G18</f><v>315.44123625000003</v></c><c r="H92" s="200"><f>'CO2 factors'!D$7*H18</f><v>0</v></c><c r="I92" s="200"><f>'CO2 factors'!E$7*I18</f><v>0</v></c><c r="J92" s="200"><f>'CO2 factors'!F$7*J18</f><v>19.381949999999996</v></c><c r="K92" s="200"><f>'CO2 factors'!G$7*K18</f><v>0</v></c><c r="L92" s="200"><f>'CO2 factors'!H$7*L18</f><v>0</v></c><c r="M92" s="68"><f t="shared" si="17"/><v>334.82318625000005</v></c><c r="N92" s="200"><f>'CO2 factors'!J$7*N18</f><v>0</v></c><c r="O92" s="200"><f>'CO2 factors'!K$7*O18</f><v>0</v></c><c r="P92" s="200"><f>'CO2 factors'!L$7*P18</f><v>0</v></c><c r="Q92" s="200"><f>'CO2 factors'!M$7*Q18</f><v>0</v></c><c r="R92" s="200"><f>'CO2 factors'!N$7*R18</f><v>0</v></c><c r="S92" s="200"><f>'CO2 factors'!O$7*S18</f><v>0</v></c><c r="T92" s="68"><f t="shared" si="19"/><v>0</v></c><c r="U92" s="68"><f t="shared" si="20"/><v>1464.1440952174939</v></c></row><row r="93" spans="1:32" s="21" customFormat="1" ht="15.75"><c r="A93" s="22"/><c r="B93" s="197" t="str"><f>Translation!A61</f><v>Heating and cooling</v></c><c r="C93" s="200"><f t="shared" si="21"/><v>27103.701815219854</v></c><c r="D93" s="200"><f t="shared" si="22"/><v>0</v></c><c r="E93" s="200"><f t="shared" si="23"/><v>0</v></c><c r="F93" s="68"><f t="shared" si="15"/><v>27103.701815219854</v></c><c r="G93" s="200"><f>'CO2 factors'!C$7*G19</f><v>5160.903233684211</v></c><c r="H93" s="200"><f>'CO2 factors'!D$7*H19</f><v>0</v></c><c r="I93" s="200"><f>'CO2 factors'!E$7*I19</f><v>0</v></c><c r="J93" s="200"><f>'CO2 factors'!F$7*J19</f><v>522.29254736842108</v></c><c r="K93" s="200"><f>'CO2 factors'!G$7*K19</f><v>0</v></c><c r="L93" s="200"><f>'CO2 factors'!H$7*L19</f><v>0</v></c><c r="M93" s="68"><f t="shared" si="17"/><v>5683.1957810526319</v></c><c r="N93" s="200"><f>'CO2 factors'!J$7*N19</f><v>0</v></c><c r="O93" s="200"><f>'CO2 factors'!K$7*O19</f><v>0</v></c><c r="P93" s="200"><f>'CO2 factors'!L$7*P19</f><v>0</v></c><c r="Q93" s="200"><f>'CO2 factors'!M$7*Q19</f><v>0</v></c><c r="R93" s="200"><f>'CO2 factors'!N$7*R19</f><v>0</v></c><c r="S93" s="200"><f>'CO2 factors'!O$7*S19</f><v>0</v></c><c r="T93" s="68"><f t="shared" si="19"/><v>0</v></c><c r="U93" s="68"><f t="shared" si="20"/><v>32786.897596272487</v></c></row><row r="94" spans="1:32" s="21" customFormat="1" ht="15.75"><c r="A94" s="22"/><c r="B94" s="197" t="str"><f>Translation!A62</f><v>Lighting</v></c><c r="C94" s="200"><f t="shared" si="21"/><v>1505.7612119566588</v></c><c r="D94" s="200"><f t="shared" si="22"/><v>0</v></c><c r="E94" s="200"><f t="shared" si="23"/><v>0</v></c><c r="F94" s="68"><f t="shared" si="15"/><v>1505.7612119566588</v></c><c r="G94" s="200"><f>'CO2 factors'!C$7*G20</f><v>0</v></c><c r="H94" s="200"><f>'CO2 factors'!D$7*H20</f><v>0</v></c><c r="I94" s="200"><f>'CO2 factors'!E$7*I20</f><v>0</v></c><c r="J94" s="200"><f>'CO2 factors'!F$7*J20</f><v>0</v></c><c r="K94" s="200"><f>'CO2 factors'!G$7*K20</f><v>0</v></c><c r="L94" s="200"><f>'CO2 factors'!H$7*L20</f><v>0</v></c><c r="M94" s="68"><f t="shared" si="17"/><v>0</v></c><c r="N94" s="200"><f>'CO2 factors'!J$7*N20</f><v>0</v></c><c r="O94" s="200"><f>'CO2 factors'!K$7*O20</f><v>0</v></c><c r="P94" s="200"><f>'CO2 factors'!L$7*P20</f><v>0</v></c><c r="Q94" s="200"><f>'CO2 factors'!M$7*Q20</f><v>0</v></c><c r="R94" s="200"><f>'CO2 factors'!N$7*R20</f><v>0</v></c><c r="S94" s="200"><f>'CO2 factors'!O$7*S20</f><v>0</v></c><c r="T94" s="68"><f t="shared" si="19"/><v>0</v></c><c r="U94" s="68"><f t="shared" si="20"/><v>1505.7612119566588</v></c></row><row r="95" spans="1:32" s="21" customFormat="1" ht="15.75"><c r="A95" s="22"/><c r="B95" s="197" t="str"><f>Translation!A63</f><v>Cooking</v></c><c r="C95" s="200"><f t="shared" si="21"/><v>1129.320908967494</v></c><c r="D95" s="200"><f t="shared" si="22"/><v>0</v></c><c r="E95" s="200"><f t="shared" si="23"/><v>0</v></c><c r="F95" s="68"><f t="shared" si="15"/><v>1129.320908967494</v></c><c r="G95" s="200"><f>'CO2 factors'!C$7*G21</f><v>0</v></c><c r="H95" s="200"><f>'CO2 factors'!D$7*H21</f><v>0</v></c><c r="I95" s="200"><f>'CO2 factors'!E$7*I21</f><v>0</v></c><c r="J95" s="200"><f>'CO2 factors'!F$7*J21</f><v>132.90479999999997</v></c><c r="K95" s="200"><f>'CO2 factors'!G$7*K21</f><v>0</v></c><c r="L95" s="200"><f>'CO2 factors'!H$7*L21</f><v>0</v></c><c r="M95" s="68"><f t="shared" si="17"/><v>132.90479999999997</v></c><c r="N95" s="200"><f>'CO2 factors'!J$7*N21</f><v>0</v></c><c r="O95" s="200"><f>'CO2 factors'!K$7*O21</f><v>0</v></c><c r="P95" s="200"><f>'CO2 factors'!L$7*P21</f><v>0</v></c><c r="Q95" s="200"><f>'CO2 factors'!M$7*Q21</f><v>0</v></c><c r="R95" s="200"><f>'CO2 factors'!N$7*R21</f><v>0</v></c><c r="S95" s="200"><f>'CO2 factors'!O$7*S21</f><v>0</v></c><c r="T95" s="68"><f t="shared" si="19"/><v>0</v></c><c r="U95" s="68"><f t="shared" si="20"/><v>1262.225708967494</v></c></row><row r="96" spans="1:32" s="21" customFormat="1" ht="15.75"><c r="A96" s="22"/><c r="B96" s="197" t="str"><f>Translation!A64</f><v>Refrigerator and freezers</v></c><c r="C96" s="200"><f t="shared" si="21"/><v>0</v></c><c r="D96" s="200"><f t="shared" si="22"/><v>0</v></c><c r="E96" s="200"><f t="shared" si="23"/><v>0</v></c><c r="F96" s="68"><f t="shared" si="15"/><v>0</v></c><c r="G96" s="200"><f>'CO2 factors'!C$7*G22</f><v>0</v></c><c r="H96" s="200"><f>'CO2 factors'!D$7*H22</f><v>0</v></c><c r="I96" s="200"><f>'CO2 factors'!E$7*I22</f><v>0</v></c><c r="J96" s="200"><f>'CO2 factors'!F$7*J22</f><v>0</v></c><c r="K96" s="200"><f>'CO2 factors'!G$7*K22</f><v>0</v></c><c r="L96" s="200"><f>'CO2 factors'!H$7*L22</f><v>0</v></c><c r="M96" s="68"><f t="shared" si="17"/><v>0</v></c><c r="N96" s="200"><f>'CO2 factors'!J$7*N22</f><v>0</v></c><c r="O96" s="200"><f>'CO2 factors'!K$7*O22</f><v>0</v></c><c r="P96" s="200"><f>'CO2 factors'!L$7*P22</f><v>0</v></c><c r="Q96" s="200"><f>'CO2 factors'!M$7*Q22</f><v>0</v></c><c r="R96" s="200"><f>'CO2 factors'!N$7*R22</f><v>0</v></c><c r="S96" s="200"><f>'CO2 factors'!O$7*S22</f><v>0</v></c><c r="T96" s="68"><f t="shared" si="19"/><v>0</v></c><c r="U96" s="68"><f t="shared" si="20"/><v>0</v></c></row><row r="97" spans="1:21" s="21" customFormat="1" ht="15.75"><c r="A97" s="22"/><c r="B97" s="197" t="str"><f>Translation!A65</f><v>Laundry machines and dryers</v></c><c r="C97" s="200"><f t="shared" si="21"/><v>0</v></c><c r="D97" s="200"><f t="shared" si="22"/><v>0</v></c><c r="E97" s="200"><f t="shared" si="23"/><v>0</v></c><c r="F97" s="68"><f t="shared" si="15"/><v>0</v></c><c r="G97" s="200"><f>'CO2 factors'!C$7*G23</f><v>0</v></c><c r="H97" s="200"><f>'CO2 factors'!D$7*H23</f><v>0</v></c><c r="I97" s="200"><f>'CO2 factors'!E$7*I23</f><v>0</v></c><c r="J97" s="200"><f>'CO2 factors'!F$7*J23</f><v>0</v></c><c r="K97" s="200"><f>'CO2 factors'!G$7*K23</f><v>0</v></c><c r="L97" s="200"><f>'CO2 factors'!H$7*L23</f><v>0</v></c><c r="M97" s="68"><f t="shared" si="17"/><v>0</v></c><c r="N97" s="200"><f>'CO2 factors'!J$7*N23</f><v>0</v></c><c r="O97" s="200"><f>'CO2 factors'!K$7*O23</f><v>0</v></c><c r="P97" s="200"><f>'CO2 factors'!L$7*P23</f><v>0</v></c><c r="Q97" s="200"><f>'CO2 factors'!M$7*Q23</f><v>0</v></c><c r="R97" s="200"><f>'CO2 factors'!N$7*R23</f><v>0</v></c><c r="S97" s="200"><f>'CO2 factors'!O$7*S23</f><v>0</v></c><c r="T97" s="68"><f t="shared" si="19"/><v>0</v></c><c r="U97" s="68"><f t="shared" si="20"/><v>0</v></c></row><row r="98" spans="1:21" s="21" customFormat="1" ht="15.75"><c r="A98" s="22"/><c r="B98" s="197" t="str"><f>Translation!A66</f><v>Dish washing</v></c><c r="C98" s="200"><f t="shared" si="21"/><v>0</v></c><c r="D98" s="200"><f t="shared" si="22"/><v>0</v></c><c r="E98" s="200"><f t="shared" si="23"/><v>0</v></c><c r="F98" s="68"><f t="shared" si="15"/><v>0</v></c><c r="G98" s="200"><f>'CO2 factors'!C$7*G24</f><v>0</v></c><c r="H98" s="200"><f>'CO2 factors'!D$7*H24</f><v>0</v></c><c r="I98" s="200"><f>'CO2 factors'!E$7*I24</f><v>0</v></c><c r="J98" s="200"><f>'CO2 factors'!F$7*J24</f><v>0</v></c><c r="K98" s="200"><f>'CO2 factors'!G$7*K24</f><v>0</v></c><c r="L98" s="200"><f>'CO2 factors'!H$7*L24</f><v>0</v></c><c r="M98" s="68"><f t="shared" si="17"/><v>0</v></c><c r="N98" s="200"><f>'CO2 factors'!J$7*N24</f><v>0</v></c><c r="O98" s="200"><f>'CO2 factors'!K$7*O24</f><v>0</v></c><c r="P98" s="200"><f>'CO2 factors'!L$7*P24</f><v>0</v></c><c r="Q98" s="200"><f>'CO2 factors'!M$7*Q24</f><v>0</v></c><c r="R98" s="200"><f>'CO2 factors'!N$7*R24</f><v>0</v></c><c r="S98" s="200"><f>'CO2 factors'!O$7*S24</f><v>0</v></c><c r="T98" s="68"><f t="shared" si="19"/><v>0</v></c><c r="U98" s="68"><f t="shared" si="20"/><v>0</v></c></row><row r="99" spans="1:21" s="21" customFormat="1" ht="15.75"><c r="A99" s="22"/><c r="B99" s="197" t="str"><f>Translation!A67</f><v>Tv sets</v></c><c r="C99" s="200"><f t="shared" si="21"/><v>0</v></c><c r="D99" s="200"><f t="shared" si="22"/><v>0</v></c><c r="E99" s="200"><f t="shared" si="23"/><v>0</v></c><c r="F99" s="68"><f t="shared" si="15"/><v>0</v></c><c r="G99" s="200"><f>'CO2 factors'!C$7*G25</f><v>0</v></c><c r="H99" s="200"><f>'CO2 factors'!D$7*H25</f><v>0</v></c><c r="I99" s="200"><f>'CO2 factors'!E$7*I25</f><v>0</v></c><c r="J99" s="200"><f>'CO2 factors'!F$7*J25</f><v>0</v></c><c r="K99" s="200"><f>'CO2 factors'!G$7*K25</f><v>0</v></c><c r="L99" s="200"><f>'CO2 factors'!H$7*L25</f><v>0</v></c><c r="M99" s="68"><f t="shared" si="17"/><v>0</v></c><c r="N99" s="200"><f>'CO2 factors'!J$7*N25</f><v>0</v></c><c r="O99" s="200"><f>'CO2 factors'!K$7*O25</f><v>0</v></c><c r="P99" s="200"><f>'CO2 factors'!L$7*P25</f><v>0</v></c><c r="Q99" s="200"><f>'CO2 factors'!M$7*Q25</f><v>0</v></c><c r="R99" s="200"><f>'CO2 factors'!N$7*R25</f><v>0</v></c><c r="S99" s="200"><f>'CO2 factors'!O$7*S25</f><v>0</v></c><c r="T99" s="68"><f t="shared" si="19"/><v>0</v></c><c r="U99" s="68"><f t="shared" si="20"/><v>0</v></c></row><row r="100" spans="1:21" s="21" customFormat="1" ht="15.75"><c r="A100" s="22"/><c r="B100" s="197" t="str"><f>Translation!A68</f><v>Other electric appliances</v></c><c r="C100" s="200"><f t="shared" si="21"/><v>6775.9254538049636</v></c><c r="D100" s="200"><f t="shared" si="22"/><v>0</v></c><c r="E100" s="200"><f t="shared" si="23"/><v>0</v></c><c r="F100" s="68"><f t="shared" si="15"/><v>6775.9254538049636</v></c><c r="G100" s="200"><f>'CO2 factors'!C$7*G26</f><v>0</v></c><c r="H100" s="200"><f>'CO2 factors'!D$7*H26</f><v>0</v></c><c r="I100" s="200"><f>'CO2 factors'!E$7*I26</f><v>0</v></c><c r="J100" s="200"><f>'CO2 factors'!F$7*J26</f><v>0</v></c><c r="K100" s="200"><f>'CO2 factors'!G$7*K26</f><v>0</v></c><c r="L100" s="200"><f>'CO2 factors'!H$7*L26</f><v>0</v></c><c r="M100" s="68"><f t="shared" si="17"/><v>0</v></c><c r="N100" s="200"><f>'CO2 factors'!J$7*N26</f><v>0</v></c><c r="O100" s="200"><f>'CO2 factors'!K$7*O26</f><v>0</v></c><c r="P100" s="200"><f>'CO2 factors'!L$7*P26</f><v>0</v></c><c r="Q100" s="200"><f>'CO2 factors'!M$7*Q26</f><v>0</v></c><c r="R100" s="200"><f>'CO2 factors'!N$7*R26</f><v>0</v></c><c r="S100" s="200"><f>'CO2 factors'!O$7*S26</f><v>0</v></c><c r="T100" s="68"><f t="shared" si="19"/><v>0</v></c><c r="U100" s="68"><f t="shared" si="20"/><v>6775.9254538049636</v></c></row><row r="101" spans="1:21" s="21" customFormat="1" ht="15.75"><c r="A101" s="22"/><c r="B101" s="70" t="str"><f>Translation!A69</f><v>PRIMARY SECTOR</v></c><c r="C101" s="68"><f>SUM(C102:C103)</f><v>1754.1168955892676</v></c><c r="D101" s="68"><f>SUM(D102:D103)</f><v>0</v></c><c r="E101" s="68"><f>SUM(E102:E103)</f><v>0</v></c><c r="F101" s="68"><f t="shared" si="15"/><v>1754.1168955892676</v></c><c r="G101" s="68"><f t="shared" ref="G101:L101" si="24">SUM(G102:G103)</f><v>84.059624378930451</v></c><c r="H101" s="68"><f t="shared" si="24"/><v>0</v></c><c r="I101" s="68"><f t="shared" si="24"/><v>0</v></c><c r="J101" s="68"><f t="shared" si="24"/><v>41.296252743740141</v></c><c r="K101" s="68"><f t="shared" si="24"/><v>0</v></c><c r="L101" s="68"><f t="shared" si="24"/><v>0</v></c><c r="M101" s="68"><f t="shared" si="17"/><v>125.35587712267059</v></c><c r="N101" s="68"><f t="shared" ref="N101:S101" si="25">SUM(N102:N103)</f><v>0</v></c><c r="O101" s="68"><f t="shared" si="25"/><v>0</v></c><c r="P101" s="68"><f t="shared" si="25"/><v>0</v></c><c r="Q101" s="68"><f t="shared" si="25"/><v>0</v></c><c r="R101" s="68"><f t="shared" si="25"/><v>0</v></c><c r="S101" s="68"><f t="shared" si="25"/><v>0</v></c><c r="T101" s="68"><f t="shared" si="19"/><v>0</v></c><c r="U101" s="68"><f t="shared" si="20"/><v>1879.4727727119382</v></c></row><row r="102" spans="1:21" s="21" customFormat="1" ht="15.75"><c r="A102" s="22"/><c r="B102" s="198" t="str"><f>Translation!A70</f><v>Agriculture, forestry and fishing</v></c><c r="C102" s="200"><f>IF(C$48&gt;0, ($S$128+$V$137)/C$48,0)*C28</f><v>1754.1168955892676</v></c><c r="D102" s="200"><f>IF(D$48&gt;0, ($S$129)/D$48,0)*D28</f><v>0</v></c><c r="E102" s="200"><f>IF(E$48&gt;0, ($S$130)/E$48,0)*E28</f><v>0</v></c><c r="F102" s="68"><f t="shared" si="15"/><v>1754.1168955892676</v></c><c r="G102" s="200"><f>'CO2 factors'!C$7*G28</f><v>84.059624378930451</v></c><c r="H102" s="200"><f>'CO2 factors'!D$7*H28</f><v>0</v></c><c r="I102" s="200"><f>'CO2 factors'!E$7*I28</f><v>0</v></c><c r="J102" s="200"><f>'CO2 factors'!F$7*J28</f><v>41.296252743740141</v></c><c r="K102" s="200"><f>'CO2 factors'!G$7*K28</f><v>0</v></c><c r="L102" s="200"><f>'CO2 factors'!H$7*L28</f><v>0</v></c><c r="M102" s="68"><f t="shared" si="17"/><v>125.35587712267059</v></c><c r="N102" s="200"><f>'CO2 factors'!J$7*N28</f><v>0</v></c><c r="O102" s="200"><f>'CO2 factors'!K$7*O28</f><v>0</v></c><c r="P102" s="200"><f>'CO2 factors'!L$7*P28</f><v>0</v></c><c r="Q102" s="200"><f>'CO2 factors'!M$7*Q28</f><v>0</v></c><c r="R102" s="200"><f>'CO2 factors'!N$7*R28</f><v>0</v></c><c r="S102" s="200"><f>'CO2 factors'!O$7*S28</f><v>0</v></c><c r="T102" s="68"><f t="shared" si="19"/><v>0</v></c><c r="U102" s="68"><f t="shared" si="20"/><v>1879.4727727119382</v></c></row><row r="103" spans="1:21" s="21" customFormat="1" ht="15.75"><c r="A103" s="22"/><c r="B103" s="198" t="str"><f>Translation!A71</f><v>Mining and quarrying</v></c><c r="C103" s="200"><f>IF(C$48&gt;0, ($S$128+$V$137)/C$48,0)*C29</f><v>0</v></c><c r="D103" s="200"><f>IF(D$48&gt;0, ($S$129)/D$48,0)*D29</f><v>0</v></c><c r="E103" s="200"><f>IF(E$48&gt;0, ($S$130)/E$48,0)*E29</f><v>0</v></c><c r="F103" s="68"><f t="shared" si="15"/><v>0</v></c><c r="G103" s="200"><f>'CO2 factors'!C$7*G29</f><v>0</v></c><c r="H103" s="200"><f>'CO2 factors'!D$7*H29</f><v>0</v></c><c r="I103" s="200"><f>'CO2 factors'!E$7*I29</f><v>0</v></c><c r="J103" s="200"><f>'CO2 factors'!F$7*J29</f><v>0</v></c><c r="K103" s="200"><f>'CO2 factors'!G$7*K29</f><v>0</v></c><c r="L103" s="200"><f>'CO2 factors'!H$7*L29</f><v>0</v></c><c r="M103" s="68"><f t="shared" si="17"/><v>0</v></c><c r="N103" s="200"><f>'CO2 factors'!J$7*N29</f><v>0</v></c><c r="O103" s="200"><f>'CO2 factors'!K$7*O29</f><v>0</v></c><c r="P103" s="200"><f>'CO2 factors'!L$7*P29</f><v>0</v></c><c r="Q103" s="200"><f>'CO2 factors'!M$7*Q29</f><v>0</v></c><c r="R103" s="200"><f>'CO2 factors'!N$7*R29</f><v>0</v></c><c r="S103" s="200"><f>'CO2 factors'!O$7*S29</f><v>0</v></c><c r="T103" s="68"><f t="shared" si="19"/><v>0</v></c><c r="U103" s="68"><f t="shared" si="20"/><v>0</v></c></row><row r="104" spans="1:21" s="21" customFormat="1" ht="15.75"><c r="A104" s="22"/><c r="B104" s="65" t="str"><f>Translation!A72</f><v>SECONDARY SECTOR</v></c><c r="C104" s="68"><f>SUM(C105:C107)</f><v>6261.3320577984623</v></c><c r="D104" s="68"><f>SUM(D105:D107)</f><v>0</v></c><c r="E104" s="68"><f>SUM(E105:E107)</f><v>0</v></c><c r="F104" s="68"><f t="shared" si="15"/><v>6261.3320577984623</v></c><c r="G104" s="68"><f t="shared" ref="G104:L104" si="26">SUM(G105:G107)</f><v>300.05139464407466</v></c><c r="H104" s="68"><f t="shared" si="26"/><v>0</v></c><c r="I104" s="68"><f t="shared" si="26"/><v>0</v></c><c r="J104" s="68"><f t="shared" si="26"/><v>147.40725194626526</v></c><c r="K104" s="68"><f t="shared" si="26"/><v>0</v></c><c r="L104" s="68"><f t="shared" si="26"/><v>0</v></c><c r="M104" s="68"><f t="shared" si="17"/><v>447.45864659033992</v></c><c r="N104" s="68"><f t="shared" ref="N104:S104" si="27">SUM(N105:N107)</f><v>0</v></c><c r="O104" s="68"><f t="shared" si="27"/><v>0</v></c><c r="P104" s="68"><f t="shared" si="27"/><v>0</v></c><c r="Q104" s="68"><f t="shared" si="27"/><v>0</v></c><c r="R104" s="68"><f t="shared" si="27"/><v>0</v></c><c r="S104" s="68"><f t="shared" si="27"/><v>0</v></c><c r="T104" s="68"><f t="shared" si="19"/><v>0</v></c><c r="U104" s="68"><f t="shared" si="20"/><v>6708.7907043888026</v></c></row><row r="105" spans="1:21" s="21" customFormat="1" ht="15.75"><c r="A105" s="22"/><c r="B105" s="198" t="str"><f>Translation!A73</f><v>Manufacturing</v></c><c r="C105" s="200"><f>IF(C$48&gt;0, ($S$128+$V$137)/C$48,0)*C31</f><v>2380.7745010389463</v></c><c r="D105" s="200"><f>IF(D$48&gt;0, ($S$129)/D$48,0)*D31</f><v>0</v></c><c r="E105" s="200"><f>IF(E$48&gt;0, ($S$130)/E$48,0)*E31</f><v>0</v></c><c r="F105" s="68"><f t="shared" si="15"/><v>2380.7745010389463</v></c><c r="G105" s="200"><f>'CO2 factors'!C$7*G31</f><v>114.08989377588767</v></c><c r="H105" s="200"><f>'CO2 factors'!D$7*H31</f><v>0</v></c><c r="I105" s="200"><f>'CO2 factors'!E$7*I31</f><v>0</v></c><c r="J105" s="200"><f>'CO2 factors'!F$7*J31</f><v>56.049323604358818</v></c><c r="K105" s="200"><f>'CO2 factors'!G$7*K31</f><v>0</v></c><c r="L105" s="200"><f>'CO2 factors'!H$7*L31</f><v>0</v></c><c r="M105" s="68"><f t="shared" si="17"/><v>170.13921738024649</v></c><c r="N105" s="200"><f>'CO2 factors'!J$7*N31</f><v>0</v></c><c r="O105" s="200"><f>'CO2 factors'!K$7*O31</f><v>0</v></c><c r="P105" s="200"><f>'CO2 factors'!L$7*P31</f><v>0</v></c><c r="Q105" s="200"><f>'CO2 factors'!M$7*Q31</f><v>0</v></c><c r="R105" s="200"><f>'CO2 factors'!N$7*R31</f><v>0</v></c><c r="S105" s="200"><f>'CO2 factors'!O$7*S31</f><v>0</v></c><c r="T105" s="68"><f t="shared" si="19"/><v>0</v></c><c r="U105" s="68"><f t="shared" si="20"/><v>2550.9137184191927</v></c></row><row r="106" spans="1:21" s="21" customFormat="1" ht="30"><c r="A106" s="22"/><c r="B106" s="198" t="str"><f>Translation!A74</f><v>Water supply, sewerage, waste management and remediation activities</v></c><c r="C106" s="200"><f>IF(C$48&gt;0, ($S$128+$V$137)/C$48,0)*C32</f><v>3308.0879171925153</v></c><c r="D106" s="200"><f>IF(D$48&gt;0, ($S$129)/D$48,0)*D32</f><v>0</v></c><c r="E106" s="200"><f>IF(E$48&gt;0, ($S$130)/E$48,0)*E32</f><v>0</v></c><c r="F106" s="68"><f t="shared" si="15"/><v>3308.0879171925153</v></c><c r="G106" s="200"><f>'CO2 factors'!C$7*G32</f><v>158.52799116803774</v></c><c r="H106" s="200"><f>'CO2 factors'!D$7*H32</f><v>0</v></c><c r="I106" s="200"><f>'CO2 factors'!E$7*I32</f><v>0</v></c><c r="J106" s="200"><f>'CO2 factors'!F$7*J32</f><v>77.880576300476548</v></c><c r="K106" s="200"><f>'CO2 factors'!G$7*K32</f><v>0</v></c><c r="L106" s="200"><f>'CO2 factors'!H$7*L32</f><v>0</v></c><c r="M106" s="68"><f t="shared" si="17"/><v>236.40856746851429</v></c><c r="N106" s="200"><f>'CO2 factors'!J$7*N32</f><v>0</v></c><c r="O106" s="200"><f>'CO2 factors'!K$7*O32</f><v>0</v></c><c r="P106" s="200"><f>'CO2 factors'!L$7*P32</f><v>0</v></c><c r="Q106" s="200"><f>'CO2 factors'!M$7*Q32</f><v>0</v></c><c r="R106" s="200"><f>'CO2 factors'!N$7*R32</f><v>0</v></c><c r="S106" s="200"><f>'CO2 factors'!O$7*S32</f><v>0</v></c><c r="T106" s="68"><f t="shared" si="19"/><v>0</v></c><c r="U106" s="68"><f t="shared" si="20"/><v>3544.4964846610296</v></c></row><row r="107" spans="1:21" s="21" customFormat="1" ht="15.75"><c r="A107" s="22"/><c r="B107" s="198" t="str"><f>Translation!A75</f><v>Construction</v></c><c r="C107" s="200"><f>IF(C$48&gt;0, ($S$128+$V$137)/C$48,0)*C33</f><v>572.46963956700063</v></c><c r="D107" s="200"><f>IF(D$48&gt;0, ($S$129)/D$48,0)*D33</f><v>0</v></c><c r="E107" s="200"><f>IF(E$48&gt;0, ($S$130)/E$48,0)*E33</f><v>0</v></c><c r="F107" s="68"><f t="shared" si="15"/><v>572.46963956700063</v></c><c r="G107" s="80"><f>'CO2 factors'!C$7*G33</f><v>27.433509700149202</v></c><c r="H107" s="80"><f>'CO2 factors'!D$7*H33</f><v>0</v></c><c r="I107" s="80"><f>'CO2 factors'!E$7*I33</f><v>0</v></c><c r="J107" s="80"><f>'CO2 factors'!F$7*J33</f><v>13.477352041429892</v></c><c r="K107" s="80"><f>'CO2 factors'!G$7*K33</f><v>0</v></c><c r="L107" s="80"><f>'CO2 factors'!H$7*L33</f><v>0</v></c><c r="M107" s="68"><f t="shared" si="17"/><v>40.910861741579097</v></c><c r="N107" s="80"><f>'CO2 factors'!J$7*N33</f><v>0</v></c><c r="O107" s="80"><f>'CO2 factors'!K$7*O33</f><v>0</v></c><c r="P107" s="80"><f>'CO2 factors'!L$7*P33</f><v>0</v></c><c r="Q107" s="80"><f>'CO2 factors'!M$7*Q33</f><v>0</v></c><c r="R107" s="80"><f>'CO2 factors'!N$7*R33</f><v>0</v></c><c r="S107" s="80"><f>'CO2 factors'!O$7*S33</f><v>0</v></c><c r="T107" s="68"><f t="shared" si="19"/><v>0</v></c><c r="U107" s="68"><f t="shared" si="20"/><v>613.38050130857971</v></c></row><row r="108" spans="1:21" s="21" customFormat="1" ht="15.75"><c r="A108" s="22"/><c r="B108" s="65" t="str"><f>Translation!A76</f><v>TERTIARY SECTOR</v></c><c r="C108" s="68"><f>SUM(C109:C116)</f><v>80260.243467293491</v></c><c r="D108" s="68"><f>SUM(D109:D116)</f><v>0</v></c><c r="E108" s="68"><f>SUM(E109:E116)</f><v>0</v></c><c r="F108" s="68"><f t="shared" si="15"/><v>80260.243467293491</v></c><c r="G108" s="68"><f t="shared" ref="G108:L108" si="28">SUM(G109:G116)</f><v>3740.2135110427844</v></c><c r="H108" s="68"><f t="shared" si="28"/><v>0</v></c><c r="I108" s="68"><f t="shared" si="28"/><v>0</v></c><c r="J108" s="68"><f t="shared" si="28"/><v>1837.4671979415739</v></c><c r="K108" s="68"><f t="shared" si="28"/><v>0</v></c><c r="L108" s="68"><f t="shared" si="28"/><v>0</v></c><c r="M108" s="68"><f t="shared" si="17"/><v>5577.6807089843587</v></c><c r="N108" s="68"><f t="shared" ref="N108:S108" si="29">SUM(N109:N116)</f><v>0</v></c><c r="O108" s="68"><f t="shared" si="29"/><v>0</v></c><c r="P108" s="68"><f t="shared" si="29"/><v>0</v></c><c r="Q108" s="68"><f t="shared" si="29"/><v>0</v></c><c r="R108" s="68"><f t="shared" si="29"/><v>0</v></c><c r="S108" s="68"><f>SUM(S109:S116)</f><v>0</v></c><c r="T108" s="68"><f t="shared" si="19"/><v>0</v></c><c r="U108" s="68"><f>F108+M108+T108</f><v>85837.924176277855</v></c></row><row r="109" spans="1:21" s="21" customFormat="1" ht="30"><c r="A109" s="22"/><c r="B109" s="198" t="str"><f>Translation!A77</f><v xml:space="preserve">Wholesale and retail trade; repair of motor vehicles and motorcycles </v></c><c r="C109" s="200"><f t="shared" ref="C109:C116" si="30">IF(C$48&gt;0, ($S$128+$V$137)/C$48,0)*C35</f><v>13912.323240652697</v></c><c r="D109" s="200"><f t="shared" ref="D109:D116" si="31">IF(D$48&gt;0, ($S$129)/D$48,0)*D35</f><v>0</v></c><c r="E109" s="200"><f t="shared" ref="E109:E116" si="32">IF(E$48&gt;0, ($S$130)/E$48,0)*E35</f><v>0</v></c><c r="F109" s="68"><f t="shared" si="15"/><v>13912.323240652697</v></c><c r="G109" s="200"><f>'CO2 factors'!C$7*G35</f><v>666.69711054499976</v></c><c r="H109" s="200"><f>'CO2 factors'!D$7*H35</f><v>0</v></c><c r="I109" s="200"><f>'CO2 factors'!E$7*I35</f><v>0</v></c><c r="J109" s="200"><f>'CO2 factors'!F$7*J35</f><v>327.53051877172675</v></c><c r="K109" s="200"><f>'CO2 factors'!G$7*K35</f><v>0</v></c><c r="L109" s="200"><f>'CO2 factors'!H$7*L35</f><v>0</v></c><c r="M109" s="68"><f t="shared" si="17"/><v>994.22762931672651</v></c><c r="N109" s="200"><f>'CO2 factors'!J$7*N35</f><v>0</v></c><c r="O109" s="200"><f>'CO2 factors'!K$7*O35</f><v>0</v></c><c r="P109" s="200"><f>'CO2 factors'!L$7*P35</f><v>0</v></c><c r="Q109" s="200"><f>'CO2 factors'!M$7*Q35</f><v>0</v></c><c r="R109" s="200"><f>'CO2 factors'!N$7*R35</f><v>0</v></c><c r="S109" s="200"><f>'CO2 factors'!O$7*S35</f><v>0</v></c><c r="T109" s="68"><f t="shared" si="19"/><v>0</v></c><c r="U109" s="68"><f t="shared" si="20"/><v>14906.550869969424</v></c></row><row r="110" spans="1:21" s="21" customFormat="1" ht="15.75"><c r="A110" s="22"/><c r="B110" s="198" t="str"><f>Translation!A78</f><v>Accomodation and food service activities</v></c><c r="C110" s="200"><f t="shared" si="30"/><v>49566.25679255533</v></c><c r="D110" s="200"><f t="shared" si="31"/><v>0</v></c><c r="E110" s="200"><f t="shared" si="32"/><v>0</v></c><c r="F110" s="68"><f t="shared" si="15"/><v>49566.25679255533</v></c><c r="G110" s="200"><f>'CO2 factors'!C$7*G36</f><v>2375.281224602842</v></c><c r="H110" s="200"><f>'CO2 factors'!D$7*H36</f><v>0</v></c><c r="I110" s="200"><f>'CO2 factors'!E$7*I36</f><v>0</v></c><c r="J110" s="200"><f>'CO2 factors'!F$7*J36</f><v>1166.9123495779727</v></c><c r="K110" s="200"><f>'CO2 factors'!G$7*K36</f><v>0</v></c><c r="L110" s="200"><f>'CO2 factors'!H$7*L36</f><v>0</v></c><c r="M110" s="68"><f t="shared" si="17"/><v>3542.1935741808147</v></c><c r="N110" s="200"><f>'CO2 factors'!J$7*N36</f><v>0</v></c><c r="O110" s="200"><f>'CO2 factors'!K$7*O36</f><v>0</v></c><c r="P110" s="200"><f>'CO2 factors'!L$7*P36</f><v>0</v></c><c r="Q110" s="200"><f>'CO2 factors'!M$7*Q36</f><v>0</v></c><c r="R110" s="200"><f>'CO2 factors'!N$7*R36</f><v>0</v></c><c r="S110" s="200"><f>'CO2 factors'!O$7*S36</f><v>0</v></c><c r="T110" s="68"><f t="shared" si="19"/><v>0</v></c><c r="U110" s="68"><f t="shared" si="20"/><v>53108.450366736142</v></c></row><row r="111" spans="1:21" s="21" customFormat="1" ht="15.75"><c r="A111" s="22"/><c r="B111" s="198" t="str"><f>Translation!A79</f><v>General public administration and social security</v></c><c r="C111" s="200"><f t="shared" si="30"/><v>950.03740184630499</v></c><c r="D111" s="200"><f t="shared" si="31"/><v>0</v></c><c r="E111" s="200"><f t="shared" si="32"/><v>0</v></c><c r="F111" s="68"><f t="shared" si="15"/><v>950.03740184630499</v></c><c r="G111" s="200"><f>'CO2 factors'!C$7*G37</f><v>45.527061135972801</v></c><c r="H111" s="200"><f>'CO2 factors'!D$7*H37</f><v>0</v></c><c r="I111" s="200"><f>'CO2 factors'!E$7*I37</f><v>0</v></c><c r="J111" s="200"><f>'CO2 factors'!F$7*J37</f><v>22.366231555777546</v></c><c r="K111" s="200"><f>'CO2 factors'!G$7*K37</f><v>0</v></c><c r="L111" s="200"><f>'CO2 factors'!H$7*L37</f><v>0</v></c><c r="M111" s="68"><f t="shared" si="17"/><v>67.893292691750347</v></c><c r="N111" s="200"><f>'CO2 factors'!J$7*N37</f><v>0</v></c><c r="O111" s="200"><f>'CO2 factors'!K$7*O37</f><v>0</v></c><c r="P111" s="200"><f>'CO2 factors'!L$7*P37</f><v>0</v></c><c r="Q111" s="200"><f>'CO2 factors'!M$7*Q37</f><v>0</v></c><c r="R111" s="200"><f>'CO2 factors'!N$7*R37</f><v>0</v></c><c r="S111" s="200"><f>'CO2 factors'!O$7*S37</f><v>0</v></c><c r="T111" s="68"><f t="shared" si="19"/><v>0</v></c><c r="U111" s="68"><f t="shared" si="20"/><v>1017.9306945380554</v></c></row><row r="112" spans="1:21" s="21" customFormat="1" ht="15.75"><c r="A112" s="22"/><c r="B112" s="198" t="str"><f>Translation!A80</f><v>Defense, justice, police and fire departments</v></c><c r="C112" s="200"><f t="shared" si="30"/><v>121.48592351116503</v></c><c r="D112" s="200"><f t="shared" si="31"/><v>0</v></c><c r="E112" s="200"><f t="shared" si="32"/><v>0</v></c><c r="F112" s="68"><f t="shared" si="15"/><v>121.48592351116503</v></c><c r="G112" s="200"><f>'CO2 factors'!C$7*G38</f><v>5.821767707359907</v></c><c r="H112" s="200"><f>'CO2 factors'!D$7*H38</f><v>0</v></c><c r="I112" s="200"><f>'CO2 factors'!E$7*I38</f><v>0</v></c><c r="J112" s="200"><f>'CO2 factors'!F$7*J38</f><v>2.8600792881813053</v></c><c r="K112" s="200"><f>'CO2 factors'!G$7*K38</f><v>0</v></c><c r="L112" s="200"><f>'CO2 factors'!H$7*L38</f><v>0</v></c><c r="M112" s="68"><f t="shared" si="17"/><v>8.6818469955412123</v></c><c r="N112" s="200"><f>'CO2 factors'!J$7*N38</f><v>0</v></c><c r="O112" s="200"><f>'CO2 factors'!K$7*O38</f><v>0</v></c><c r="P112" s="200"><f>'CO2 factors'!L$7*P38</f><v>0</v></c><c r="Q112" s="200"><f>'CO2 factors'!M$7*Q38</f><v>0</v></c><c r="R112" s="200"><f>'CO2 factors'!N$7*R38</f><v>0</v></c><c r="S112" s="200"><f>'CO2 factors'!O$7*S38</f><v>0</v></c><c r="T112" s="68"><f t="shared" si="19"/><v>0</v></c><c r="U112" s="68"><f t="shared" si="20"/><v>130.16777050670623</v></c></row><row r="113" spans="1:31" s="21" customFormat="1" ht="15.75"><c r="A113" s="22"/><c r="B113" s="198" t="str"><f>Translation!A81</f><v>Education</v></c><c r="C113" s="200"><f t="shared" si="30"/><v>1068.0273275585876</v></c><c r="D113" s="200"><f t="shared" si="31"/><v>0</v></c><c r="E113" s="200"><f t="shared" si="32"/><v>0</v></c><c r="F113" s="68"><f t="shared" si="15"/><v>1068.0273275585876</v></c><c r="G113" s="200"><f>'CO2 factors'!C$7*G39</f><v>51.181295959667672</v></c><c r="H113" s="200"><f>'CO2 factors'!D$7*H39</f><v>0</v></c><c r="I113" s="200"><f>'CO2 factors'!E$7*I39</f><v>0</v></c><c r="J113" s="200"><f>'CO2 factors'!F$7*J39</f><v>25.14400640401119</v></c><c r="K113" s="200"><f>'CO2 factors'!G$7*K39</f><v>0</v></c><c r="L113" s="200"><f>'CO2 factors'!H$7*L39</f><v>0</v></c><c r="M113" s="68"><f t="shared" si="17"/><v>76.325302363678858</v></c><c r="N113" s="200"><f>'CO2 factors'!J$7*N39</f><v>0</v></c><c r="O113" s="200"><f>'CO2 factors'!K$7*O39</f><v>0</v></c><c r="P113" s="200"><f>'CO2 factors'!L$7*P39</f><v>0</v></c><c r="Q113" s="200"><f>'CO2 factors'!M$7*Q39</f><v>0</v></c><c r="R113" s="200"><f>'CO2 factors'!N$7*R39</f><v>0</v></c><c r="S113" s="200"><f>'CO2 factors'!O$7*S39</f><v>0</v></c><c r="T113" s="68"><f t="shared" si="19"/><v>0</v></c><c r="U113" s="68"><f t="shared" si="20"/><v>1144.3526299222665</v></c></row><row r="114" spans="1:31" s="21" customFormat="1" ht="15.75"><c r="A114" s="22"/><c r="B114" s="198" t="str"><f>Translation!A82</f><v>Human health and social work activities</v></c><c r="C114" s="200"><f t="shared" si="30"/><v>5189.8087324409926</v></c><c r="D114" s="200"><f t="shared" si="31"/><v>0</v></c><c r="E114" s="200"><f t="shared" si="32"/><v>0</v></c><c r="F114" s="68"><f t="shared" si="15"/><v>5189.8087324409926</v></c><c r="G114" s="200"><f>'CO2 factors'!C$7*G40</f><v>248.70256580074192</v></c><c r="H114" s="200"><f>'CO2 factors'!D$7*H40</f><v>0</v></c><c r="I114" s="200"><f>'CO2 factors'!E$7*I40</f><v>0</v></c><c r="J114" s="200"><f>'CO2 factors'!F$7*J40</f><v>122.18094110230641</v></c><c r="K114" s="200"><f>'CO2 factors'!G$7*K40</f><v>0</v></c><c r="L114" s="200"><f>'CO2 factors'!H$7*L40</f><v>0</v></c><c r="M114" s="68"><f t="shared" si="17"/><v>370.88350690304833</v></c><c r="N114" s="200"><f>'CO2 factors'!J$7*N40</f><v>0</v></c><c r="O114" s="200"><f>'CO2 factors'!K$7*O40</f><v>0</v></c><c r="P114" s="200"><f>'CO2 factors'!L$7*P40</f><v>0</v></c><c r="Q114" s="200"><f>'CO2 factors'!M$7*Q40</f><v>0</v></c><c r="R114" s="200"><f>'CO2 factors'!N$7*R40</f><v>0</v></c><c r="S114" s="200"><f>'CO2 factors'!O$7*S40</f><v>0</v></c><c r="T114" s="68"><f t="shared" si="19"/><v>0</v></c><c r="U114" s="68"><f t="shared" si="20"/><v>5560.6922393440409</v></c></row><row r="115" spans="1:31" s="21" customFormat="1" ht="15.75"><c r="A115" s="22"/><c r="B115" s="198" t="str"><f>Translation!A83</f><v>Other services</v></c><c r="C115" s="200"><f t="shared" si="30"/><v>7241.0854409352678</v></c><c r="D115" s="200"><f t="shared" si="31"/><v>0</v></c><c r="E115" s="200"><f t="shared" si="32"/><v>0</v></c><c r="F115" s="68"><f t="shared" si="15"/><v>7241.0854409352678</v></c><c r="G115" s="200"><f>'CO2 factors'!C$7*G41</f><v>347.00248529120023</v></c><c r="H115" s="200"><f>'CO2 factors'!D$7*H41</f><v>0</v></c><c r="I115" s="200"><f>'CO2 factors'!E$7*I41</f><v>0</v></c><c r="J115" s="200"><f>'CO2 factors'!F$7*J41</f><v>170.47307124159795</v></c><c r="K115" s="200"><f>'CO2 factors'!G$7*K41</f><v>0</v></c><c r="L115" s="200"><f>'CO2 factors'!H$7*L41</f><v>0</v></c><c r="M115" s="68"><f t="shared" si="17"/><v>517.47555653279824</v></c><c r="N115" s="200"><f>'CO2 factors'!J$7*N41</f><v>0</v></c><c r="O115" s="200"><f>'CO2 factors'!K$7*O41</f><v>0</v></c><c r="P115" s="200"><f>'CO2 factors'!L$7*P41</f><v>0</v></c><c r="Q115" s="200"><f>'CO2 factors'!M$7*Q41</f><v>0</v></c><c r="R115" s="200"><f>'CO2 factors'!N$7*R41</f><v>0</v></c><c r="S115" s="200"><f>'CO2 factors'!O$7*S41</f><v>0</v></c><c r="T115" s="68"><f t="shared" si="19"/><v>0</v></c><c r="U115" s="68"><f t="shared" si="20"/><v>7758.5609974680665</v></c></row><row r="116" spans="1:31" s="21" customFormat="1" ht="15.75"><c r="A116" s="22"/><c r="B116" s="198" t="str"><f>Translation!A84</f><v>Public lighting</v></c><c r="C116" s="200"><f t="shared" si="30"/><v>2211.2186077931478</v></c><c r="D116" s="200"><f t="shared" si="31"/><v>0</v></c><c r="E116" s="200"><f t="shared" si="32"/><v>0</v></c><c r="F116" s="68"><f t="shared" si="15"/><v>2211.2186077931478</v></c><c r="G116" s="200"><f>'CO2 factors'!C$7*G42</f><v>0</v></c><c r="H116" s="200"><f>'CO2 factors'!D$7*H42</f><v>0</v></c><c r="I116" s="200"><f>'CO2 factors'!E$7*I42</f><v>0</v></c><c r="J116" s="200"><f>'CO2 factors'!F$7*J42</f><v>0</v></c><c r="K116" s="200"><f>'CO2 factors'!G$7*K42</f><v>0</v></c><c r="L116" s="200"><f>'CO2 factors'!H$7*L42</f><v>0</v></c><c r="M116" s="68"><f t="shared" si="17"/><v>0</v></c><c r="N116" s="200"><f>'CO2 factors'!J$7*N42</f><v>0</v></c><c r="O116" s="200"><f>'CO2 factors'!K$7*O42</f><v>0</v></c><c r="P116" s="200"><f>'CO2 factors'!L$7*P42</f><v>0</v></c><c r="Q116" s="200"><f>'CO2 factors'!M$7*Q42</f><v>0</v></c><c r="R116" s="200"><f>'CO2 factors'!N$7*R42</f><v>0</v></c><c r="S116" s="200"/><c r="T116" s="68"><f t="shared" si="19"/><v>0</v></c><c r="U116" s="68"><f t="shared" si="20"/><v>2211.2186077931478</v></c></row><row r="117" spans="1:31" s="21" customFormat="1" ht="15.75"><c r="A117" s="22"/><c r="B117" s="65" t="str"><f>Translation!A85</f><v>TRANSPORTS</v></c><c r="C117" s="68"><f>SUM(C118:C121)</f><v>25.34598404189774</v></c><c r="D117" s="68"><f>SUM(D118:D121)</f><v>0</v></c><c r="E117" s="68"><f>SUM(E118:E121)</f><v>0</v></c><c r="F117" s="68"><f t="shared" si="15"/><v>25.34598404189774</v></c><c r="G117" s="68"><f t="shared" ref="G117:L117" si="33">SUM(G118:G121)</f><v>0</v></c><c r="H117" s="68"><f t="shared" si="33"/><v>27540.516000000003</v></c><c r="I117" s="68"><f t="shared" si="33"/><v>33213.612000000001</v></c><c r="J117" s="68"><f t="shared" si="33"/><v>0</v></c><c r="K117" s="68"><f t="shared" si="33"/><v>0</v></c><c r="L117" s="68"><f t="shared" si="33"/><v>0</v></c><c r="M117" s="68"><f t="shared" si="17"/><v>60754.128000000004</v></c><c r="N117" s="68"><f t="shared" ref="N117:S117" si="34">SUM(N118:N121)</f><v>0</v></c><c r="O117" s="68"><f t="shared" si="34"/><v>0</v></c><c r="P117" s="68"><f t="shared" si="34"/><v>0</v></c><c r="Q117" s="68"><f t="shared" si="34"/><v>0</v></c><c r="R117" s="68"><f t="shared" si="34"/><v>0</v></c><c r="S117" s="68"><f t="shared" si="34"/><v>0</v></c><c r="T117" s="68"><f t="shared" si="19"/><v>0</v></c><c r="U117" s="68"><f t="shared" si="20"/><v>60779.473984041899</v></c></row><row r="118" spans="1:31" s="21" customFormat="1" ht="30"><c r="A118" s="22"/><c r="B118" s="198" t="str"><f>Translation!A86</f><v>Passenger road transport and other passenger road transport services (public transports, taxi, tourism, school buses, etc.)</v></c><c r="C118" s="200"><f>IF(C$48&gt;0, ($S$128+$V$137)/C$48,0)*C44</f><v>25.34598404189774</v></c><c r="D118" s="200"><f>IF(D$48&gt;0, ($S$129)/D$48,0)*D44</f><v>0</v></c><c r="E118" s="200"><f>IF(E$48&gt;0, ($S$130)/E$48,0)*E44</f><v>0</v></c><c r="F118" s="68"><f t="shared" si="15"/><v>25.34598404189774</v></c><c r="G118" s="200"><f>'CO2 factors'!C$7*G44</f><v>0</v></c><c r="H118" s="200"><f>'CO2 factors'!D$7*H44</f><v>550.81032000000005</v></c><c r="I118" s="200"><f>'CO2 factors'!E$7*I44</f><v>664.27224000000001</v></c><c r="J118" s="200"><f>'CO2 factors'!F$7*J44</f><v>0</v></c><c r="K118" s="200"><f>'CO2 factors'!G$7*K44</f><v>0</v></c><c r="L118" s="200"><f>'CO2 factors'!H$7*L44</f><v>0</v></c><c r="M118" s="68"><f t="shared" si="17"/><v>1215.0825600000001</v></c><c r="N118" s="200"><f>'CO2 factors'!J$7*N44</f><v>0</v></c><c r="O118" s="200"><f>'CO2 factors'!K$7*O44</f><v>0</v></c><c r="P118" s="200"><f>'CO2 factors'!L$7*P44</f><v>0</v></c><c r="Q118" s="200"><f>'CO2 factors'!M$7*Q44</f><v>0</v></c><c r="R118" s="200"><f>'CO2 factors'!N$7*R44</f><v>0</v></c><c r="S118" s="200"><f>'CO2 factors'!O$7*S44</f><v>0</v></c><c r="T118" s="68"><f t="shared" si="19"/><v>0</v></c><c r="U118" s="68"><f t="shared" si="20"/><v>1240.4285440418978</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15"/><v>0</v></c><c r="G119" s="200"><f>'CO2 factors'!C$7*G45</f><v>0</v></c><c r="H119" s="200"><f>'CO2 factors'!D$7*H45</f><v>8812.9651200000008</v></c><c r="I119" s="200"><f>'CO2 factors'!E$7*I45</f><v>10628.35584</v></c><c r="J119" s="200"><f>'CO2 factors'!F$7*J45</f><v>0</v></c><c r="K119" s="200"><f>'CO2 factors'!G$7*K45</f><v>0</v></c><c r="L119" s="200"><f>'CO2 factors'!H$7*L45</f><v>0</v></c><c r="M119" s="68"><f t="shared" si="17"/><v>19441.320960000001</v></c><c r="N119" s="200"><f>'CO2 factors'!J$7*N45</f><v>0</v></c><c r="O119" s="200"><f>'CO2 factors'!K$7*O45</f><v>0</v></c><c r="P119" s="200"><f>'CO2 factors'!L$7*P45</f><v>0</v></c><c r="Q119" s="200"><f>'CO2 factors'!M$7*Q45</f><v>0</v></c><c r="R119" s="200"><f>'CO2 factors'!N$7*R45</f><v>0</v></c><c r="S119" s="200"><f>'CO2 factors'!O$7*S45</f><v>0</v></c><c r="T119" s="68"><f t="shared" si="19"/><v>0</v></c><c r="U119" s="68"><f t="shared" si="20"/><v>19441.320960000001</v></c></row><row r="120" spans="1:31" s="21" customFormat="1" ht="15.75"><c r="A120" s="22"/><c r="B120" s="198" t="str"><f>Translation!A88</f><v>Other fleet for public and private services</v></c><c r="C120" s="200"><f>IF(C$48&gt;0, ($S$128+$V$137)/C$48,0)*C46</f><v>0</v></c><c r="D120" s="200"><f>IF(D$48&gt;0, ($S$129)/D$48,0)*D46</f><v>0</v></c><c r="E120" s="200"><f>IF(E$48&gt;0, ($S$130)/E$48,0)*E46</f><v>0</v></c><c r="F120" s="68"><f t="shared" si="15"/><v>0</v></c><c r="G120" s="200"><f>'CO2 factors'!C$7*G46</f><v>0</v></c><c r="H120" s="200"><f>'CO2 factors'!D$7*H46</f><v>0</v></c><c r="I120" s="200"><f>'CO2 factors'!E$7*I46</f><v>0</v></c><c r="J120" s="200"><f>'CO2 factors'!F$7*J46</f><v>0</v></c><c r="K120" s="200"><f>'CO2 factors'!G$7*K46</f><v>0</v></c><c r="L120" s="200"><f>'CO2 factors'!H$7*L46</f><v>0</v></c><c r="M120" s="68"><f t="shared" si="17"/><v>0</v></c><c r="N120" s="200"><f>'CO2 factors'!J$7*N46</f><v>0</v></c><c r="O120" s="200"><f>'CO2 factors'!K$7*O46</f><v>0</v></c><c r="P120" s="200"><f>'CO2 factors'!L$7*P46</f><v>0</v></c><c r="Q120" s="200"><f>'CO2 factors'!M$7*Q46</f><v>0</v></c><c r="R120" s="200"><f>'CO2 factors'!N$7*R46</f><v>0</v></c><c r="S120" s="200"><f>'CO2 factors'!O$7*S46</f><v>0</v></c><c r="T120" s="68"><f t="shared" si="19"/><v>0</v></c><c r="U120" s="68"><f t="shared" si="20"/><v>0</v></c></row><row r="121" spans="1:31" s="21" customFormat="1" ht="15.75"><c r="A121" s="22"/><c r="B121" s="197" t="str"><f>Translation!A89</f><v>Private transports</v></c><c r="C121" s="200"><f>IF(C$48&gt;0, ($S$128+$V$137)/C$48,0)*C47</f><v>0</v></c><c r="D121" s="200"><f>IF(D$48&gt;0, ($S$129)/D$48,0)*D47</f><v>0</v></c><c r="E121" s="200"><f>IF(E$48&gt;0, ($S$130)/E$48,0)*E47</f><v>0</v></c><c r="F121" s="68"><f t="shared" si="15"/><v>0</v></c><c r="G121" s="200"><f>'CO2 factors'!C$7*G47</f><v>0</v></c><c r="H121" s="200"><f>'CO2 factors'!D$7*H47</f><v>18176.740560000002</v></c><c r="I121" s="200"><f>'CO2 factors'!E$7*I47</f><v>21920.983919999999</v></c><c r="J121" s="200"><f>'CO2 factors'!F$7*J47</f><v>0</v></c><c r="K121" s="200"><f>'CO2 factors'!G$7*K47</f><v>0</v></c><c r="L121" s="200"><f>'CO2 factors'!H$7*L47</f><v>0</v></c><c r="M121" s="68"><f t="shared" si="17"/><v>40097.724480000004</v></c><c r="N121" s="200"><f>'CO2 factors'!J$7*N47</f><v>0</v></c><c r="O121" s="200"><f>'CO2 factors'!K$7*O47</f><v>0</v></c><c r="P121" s="200"><f>'CO2 factors'!L$7*P47</f><v>0</v></c><c r="Q121" s="200"><f>'CO2 factors'!M$7*Q47</f><v>0</v></c><c r="R121" s="200"><f>'CO2 factors'!N$7*R47</f><v>0</v></c><c r="S121" s="200"><f>'CO2 factors'!O$7*S47</f><v>0</v></c><c r="T121" s="68"><f t="shared" si="19"/><v>0</v></c><c r="U121" s="68"><f t="shared" si="20"/><v>40097.724480000004</v></c></row><row r="122" spans="1:31" s="21" customFormat="1" ht="15.75"><c r="A122" s="22"/><c r="B122" s="77" t="str"><f>Translation!A117</f><v>TOTAL FOR INTERNAL MARKET</v></c><c r="C122" s="69"><f>C91+C101+C104+C108+C117</f><v>125945.06870363958</v></c><c r="D122" s="69"><f>D91+D101+D104+D108+D117</f><v>0</v></c><c r="E122" s="69"><f>E91+E101+E104+E108+E117</f><v>0</v></c><c r="F122" s="68"><f t="shared" si="15"/><v>125945.06870363958</v></c><c r="G122" s="69"><f t="shared" ref="G122:L122" si="35">G91+G101+G104+G108+G117</f><v>9600.6689999999999</v></c><c r="H122" s="69"><f t="shared" si="35"/><v>27540.516000000003</v></c><c r="I122" s="69"><f t="shared" si="35"/><v>33213.612000000001</v></c><c r="J122" s="69"><f t="shared" si="35"/><v>2700.7500000000005</v></c><c r="K122" s="69"><f t="shared" si="35"/><v>0</v></c><c r="L122" s="69"><f t="shared" si="35"/><v>0</v></c><c r="M122" s="68"><f t="shared" si="17"/><v>73055.547000000006</v></c><c r="N122" s="69"><f t="shared" ref="N122:S122" si="36">N91+N101+N104+N108+N117</f><v>0</v></c><c r="O122" s="69"><f t="shared" si="36"/><v>0</v></c><c r="P122" s="69"><f t="shared" si="36"/><v>0</v></c><c r="Q122" s="69"><f t="shared" si="36"/><v>0</v></c><c r="R122" s="69"><f t="shared" si="36"/><v>0</v></c><c r="S122" s="69"><f t="shared" si="36"/><v>0</v></c><c r="T122" s="68"><f t="shared" si="19"/><v>0</v></c><c r="U122" s="68"><f t="shared" si="20"/><v>199000.61570363957</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25" t="str"><f>Translation!A120</f><v>PRODUCTION SECTOR</v></c><c r="C125" s="299" t="str"><f>Translation!A142</f><v>PRIMARY ENERGY SOURCE</v></c><c r="D125" s="300"/><c r="E125" s="300"/><c r="F125" s="300"/><c r="G125" s="300"/><c r="H125" s="300"/><c r="I125" s="300"/><c r="J125" s="300"/><c r="K125" s="300"/><c r="L125" s="300"/><c r="M125" s="300"/><c r="N125" s="300"/><c r="O125" s="300"/><c r="P125" s="300"/><c r="Q125" s="300"/><c r="R125" s="300"/><c r="S125" s="301"/><c r="T125" s="64"/><c r="U125" s="302" t="str"><f>Translation!A122</f><v>Energy product</v></c><c r="V125" s="303"/><c r="W125" s="308" t="str"><f>Translation!A149</f><v>CO2 EMISSION FACTORS</v></c><c r="X125" s="61"/><c r="Y125" s="61"/><c r="Z125" s="61"/><c r="AA125" s="61"/><c r="AB125" s="61"/><c r="AC125" s="61"/><c r="AD125" s="61"/><c r="AE125" s="61"/></row><row r="126" spans="1:31" s="55" customFormat="1" ht="15" customHeight="1"><c r="B126" s="326"/><c r="C126" s="299" t="str"><f>Translation!A98</f><v>Fossil fuels</v></c><c r="D126" s="300"/><c r="E126" s="300"/><c r="F126" s="300"/><c r="G126" s="300"/><c r="H126" s="300"/><c r="I126" s="301"/><c r="J126" s="299" t="str"><f>Translation!A107</f><v>Renewable energy sources</v></c><c r="K126" s="300"/><c r="L126" s="300"/><c r="M126" s="300"/><c r="N126" s="300"/><c r="O126" s="300"/><c r="P126" s="300"/><c r="Q126" s="300"/><c r="R126" s="301"/><c r="S126" s="311" t="str"><f>Translation!A118</f><v>TOTAL</v></c><c r="T126" s="64"/><c r="U126" s="304"/><c r="V126" s="305"/><c r="W126" s="309"/><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1"/><c r="T127" s="64"/><c r="U127" s="306"/><c r="V127" s="307"/><c r="W127" s="310"/><c r="X127" s="61"/><c r="Y127" s="61"/><c r="Z127" s="61"/><c r="AA127" s="61"/><c r="AB127" s="61"/><c r="AC127" s="61"/><c r="AD127" s="61"/><c r="AE127" s="61"/></row><row r="128" spans="1:31" s="55" customFormat="1" ht="15.75"><c r="B128" s="199" t="str"><f>Translation!A123</f><v>Electricity</v></c><c r="C128" s="204"><f>'CO2 factors'!C$7*C67</f><v>123790.91270363959</v></c><c r="D128" s="204"><f>'CO2 factors'!D$7*D67</f><v>2154.1559999999999</v></c><c r="E128" s="204"><f>'CO2 factors'!E$7*E67</f><v>0</v></c><c r="F128" s="204"><f>'CO2 factors'!F$7*F67</f><v>0</v></c><c r="G128" s="204"><f>'CO2 factors'!G$7*G67</f><v>0</v></c><c r="H128" s="204"><f>'CO2 factors'!H$7*H67</f><v>0</v></c><c r="I128" s="63"><f>SUM(C128:H128)</f><v>125945.0687036396</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125945.0687036396</v></c><c r="T128" s="62"/><c r="U128" s="313" t="str"><f>Translation!A123</f><v>Electricity</v></c><c r="V128" s="314"/><c r="W128" s="205"><f>IF(S58&gt;0,S128/S58,0)</f><v>0.87399944972061172</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2" t="str"><f>Translation!A124</f><v>Heat</v></c><c r="V129" s="312"/><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2" t="str"><f>Translation!A125</f><v>Cold</v></c><c r="V130" s="312"/><c r="W130" s="205"><f>IF(S60&gt;0,S130/S60,0)</f><v>0</v></c><c r="X130" s="61"/><c r="Y130" s="61"/><c r="Z130" s="61"/><c r="AA130" s="61"/><c r="AB130" s="61"/><c r="AC130" s="61"/><c r="AD130" s="61"/><c r="AE130" s="61"/></row><row r="131" spans="1:31" s="55" customFormat="1" ht="15.75"><c r="B131" s="74" t="str"><f>Translation!A118</f><v>TOTAL</v></c><c r="C131" s="57"><f t="shared" ref="C131:S131" si="37">SUM(C128:C130)</f><v>123790.91270363959</v></c><c r="D131" s="57"><f t="shared" si="37"/><v>2154.1559999999999</v></c><c r="E131" s="57"><f t="shared" si="37"/><v>0</v></c><c r="F131" s="57"><f t="shared" si="37"/><v>0</v></c><c r="G131" s="57"><f t="shared" si="37"/><v>0</v></c><c r="H131" s="57"><f t="shared" si="37"/><v>0</v></c><c r="I131" s="57"><f t="shared" si="37"/><v>125945.0687036396</v></c><c r="J131" s="57"><f t="shared" si="37"/><v>0</v></c><c r="K131" s="57"><f t="shared" si="37"/><v>0</v></c><c r="L131" s="57"><f t="shared" si="37"/><v>0</v></c><c r="M131" s="57"><f t="shared" si="37"/><v>0</v></c><c r="N131" s="57"><f t="shared" si="37"/><v>0</v></c><c r="O131" s="57"><f t="shared" si="37"/><v>0</v></c><c r="P131" s="57"><f t="shared" si="37"/><v>0</v></c><c r="Q131" s="57"><f t="shared" si="37"/><v>0</v></c><c r="R131" s="57"><f t="shared" si="37"/><v>0</v></c><c r="S131" s="57"><f t="shared" si="37"/><v>125945.0687036396</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37" t="str"><f>Translation!A122</f><v>Energy product</v></c><c r="C134" s="296" t="str"><f>Translation!A142</f><v>PRIMARY ENERGY SOURCE</v></c><c r="D134" s="297"/><c r="E134" s="297"/><c r="F134" s="297"/><c r="G134" s="297"/><c r="H134" s="297"/><c r="I134" s="297"/><c r="J134" s="297"/><c r="K134" s="297"/><c r="L134" s="297"/><c r="M134" s="297"/><c r="N134" s="297"/><c r="O134" s="297"/><c r="P134" s="297"/><c r="Q134" s="297"/><c r="R134" s="297"/><c r="S134" s="297"/><c r="T134" s="297"/><c r="U134" s="297"/><c r="V134" s="297"/><c r="W134" s="297"/><c r="X134" s="297"/><c r="Y134" s="298"/><c r="AA134" s="308" t="str"><f>Translation!A150</f><v>CO2 emissions from ETS installations included in the calculations for final use of energy</v></c><c r="AB134" s="308" t="str"><f>Translation!A151</f><v>CO2 emissions from ETS installations included in the calculations for secondary energy production</v></c></row><row r="135" spans="1:31" s="55" customFormat="1" ht="15" customHeight="1"><c r="B135" s="338"/><c r="C135" s="296" t="str"><f>Translation!A98</f><v>Fossil fuels</v></c><c r="D135" s="297"/><c r="E135" s="297"/><c r="F135" s="297"/><c r="G135" s="297"/><c r="H135" s="297"/><c r="I135" s="298"/><c r="J135" s="296" t="str"><f>Translation!A107</f><v>Renewable energy sources</v></c><c r="K135" s="297"/><c r="L135" s="297"/><c r="M135" s="297"/><c r="N135" s="297"/><c r="O135" s="297"/><c r="P135" s="297"/><c r="Q135" s="297"/><c r="R135" s="298"/><c r="S135" s="315" t="str"><f>Translation!A123</f><v>Electricity</v></c><c r="T135" s="316"/><c r="U135" s="316"/><c r="V135" s="317"/><c r="W135" s="115" t="str"><f>Translation!A124</f><v>Heat</v></c><c r="X135" s="115" t="str"><f>Translation!A125</f><v>Cold</v></c><c r="Y135" s="269" t="str"><f>Translation!A118</f><v>TOTAL</v></c><c r="AA135" s="309"/><c r="AB135" s="309"/></row><row r="136" spans="1:31" s="55" customFormat="1" ht="90.75" customHeight="1"><c r="B136" s="339"/><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69"/><c r="AA136" s="310"/><c r="AB136" s="310"/></row><row r="137" spans="1:31" s="55" customFormat="1" ht="15.75"><c r="B137" s="114" t="str"><f>Translation!A118</f><v>TOTAL</v></c><c r="C137" s="201"><f>'CO2 factors'!C$7*C76</f><v>133391.58170363959</v></c><c r="D137" s="201"><f>'CO2 factors'!D$7*D76</f><v>29694.672000000002</v></c><c r="E137" s="201"><f>'CO2 factors'!E$7*E76</f><v>33213.612000000001</v></c><c r="F137" s="201"><f>'CO2 factors'!F$7*F76</f><v>2700.7500000000005</v></c><c r="G137" s="201"><f>'CO2 factors'!G$7*G76</f><v>0</v></c><c r="H137" s="201"><f>'CO2 factors'!H$7*H76</f><v>0</v></c><c r="I137" s="57"><f>SUM(C137:H137)</f><v>199000.61570363957</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199000.61570363957</v></c><c r="AA137" s="164"/><c r="AB137" s="164"/></row><row r="138" spans="1:31" s="55" customFormat="1" ht="15"><c r="B138" s="56"/></row><row r="139" spans="1:31" ht="15.75" customHeight="1"><c r="A139" s="154"/><c r="B139" s="155"/></row><row r="140" spans="1:31" ht="18.75" customHeight="1"><c r="A140" s="153"/><c r="B140" s="285" t="str"><f>Translation!A153</f><v xml:space="preserve">Go to the next sheet dedicated to your Emission Inventory in 2020 </v></c><c r="C140" s="286"/><c r="D140" s="286"/><c r="E140" s="286"/><c r="F140" s="286"/><c r="G140" s="286"/><c r="H140" s="286"/><c r="I140" s="286"/><c r="J140" s="286"/><c r="K140" s="286"/><c r="L140" s="286"/><c r="M140" s="286"/><c r="N140" s="286"/><c r="O140" s="286"/><c r="P140" s="286"/><c r="Q140" s="286"/><c r="R140" s="286"/><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8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87"/><c r="D142" s="287"/><c r="E142" s="287"/><c r="F142" s="287"/><c r="G142" s="287"/><c r="H142" s="287"/><c r="I142" s="287"/><c r="J142" s="287"/><c r="K142" s="287"/><c r="L142" s="287"/><c r="M142" s="287"/><c r="N142" s="287"/><c r="O142" s="287"/><c r="P142" s="287"/><c r="Q142" s="287"/><c r="R142" s="287"/><c r="S142" s="287"/><c r="T142" s="287"/><c r="U142" s="287"/></row><row r="143" spans="1:31" ht="12.75" customHeight="1"><c r="B143" s="287"/><c r="C143" s="287"/><c r="D143" s="287"/><c r="E143" s="287"/><c r="F143" s="287"/><c r="G143" s="287"/><c r="H143" s="287"/><c r="I143" s="287"/><c r="J143" s="287"/><c r="K143" s="287"/><c r="L143" s="287"/><c r="M143" s="287"/><c r="N143" s="287"/><c r="O143" s="287"/><c r="P143" s="287"/><c r="Q143" s="287"/><c r="R143" s="287"/><c r="S143" s="287"/><c r="T143" s="287"/><c r="U143" s="287"/></row><row r="144" spans="1:31" ht="12.75" customHeight="1"><c r="B144" s="287"/><c r="C144" s="287"/><c r="D144" s="287"/><c r="E144" s="287"/><c r="F144" s="287"/><c r="G144" s="287"/><c r="H144" s="287"/><c r="I144" s="287"/><c r="J144" s="287"/><c r="K144" s="287"/><c r="L144" s="287"/><c r="M144" s="287"/><c r="N144" s="287"/><c r="O144" s="287"/><c r="P144" s="287"/><c r="Q144" s="287"/><c r="R144" s="287"/><c r="S144" s="287"/><c r="T144" s="287"/><c r="U144" s="287"/></row></sheetData><mergeCells count="70"><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 ref="C8:D8"/><mergeCell ref="S6:U6"/><mergeCell ref="C10:J10"/><mergeCell ref="A4:U4"/><mergeCell ref="C14:U14"/><mergeCell ref="C15:F15"/><mergeCell ref="G15:M15"/><mergeCell ref="N15:T15"/><mergeCell ref="U15:U16"/><mergeCell ref="S56:S57"/><mergeCell ref="C56:I56"/><mergeCell ref="C55:S55"/><mergeCell ref="J56:R56"/><mergeCell ref="V56:V57"/><mergeCell ref="T55:V55"/><mergeCell ref="U56:U57"/><mergeCell ref="T56:T57"/><mergeCell ref="AD55:AD57"/><mergeCell ref="W55:AB55"/><mergeCell ref="AC55:AC57"/><mergeCell ref="AA56:AA57"/><mergeCell ref="Y56:Z56"/><mergeCell ref="AB56:AB57"/><mergeCell ref="W56:X5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3" zoomScale="70" zoomScaleNormal="70" workbookViewID_"0"><selection activeCell="C18" sqref="C18"/></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66" t="str"><f>Translation!$A$31</f><v>Island  Sustainable Energy Action Plan (ISEAP)</v></c><c r="B1" s="266"/><c r="C1" s="266"/><c r="D1" s="266"/><c r="E1" s="266"/><c r="F1" s="266"/><c r="G1" s="266"/><c r="H1" s="266"/><c r="I1" s="266"/><c r="J1" s="266"/><c r="K1" s="266"/><c r="L1" s="266"/><c r="M1" s="266"/><c r="N1" s="266"/><c r="O1" s="266"/><c r="P1" s="266"/><c r="Q1" s="266"/><c r="R1" s="266"/><c r="S1" s="266"/><c r="T1" s="266"/><c r="U1" s="266"/></row><row r="2" spans="1:30" s="21" customFormat="1" ht="28.5" customHeight="1"><c r="A2" s="82"/><c r="B2" s="251" t="s"><v>450</v></c><c r="C2" s="82"/><c r="D2" s="82"/><c r="E2" s="82"/><c r="F2" s="86"/><c r="G2" s="86"/><c r="H2" s="87"/><c r="I2" s="84" t="str"><f>Translation!$A$10</f><v>Island</v></c><c r="J2" s="85" t="str"><f>'Start here'!$B$5</f><v>Cyprus - Paralimni</v></c><c r="K2" s="87"/><c r="L2" s="87"/><c r="M2" s="87"/><c r="N2" s="87"/><c r="O2" s="87"/><c r="P2" s="87"/><c r="Q2" s="87"/><c r="R2" s="160"/><c r="S2" s="162"/><c r="T2" s="84" t="str"><f>Translation!$A$51</f><v>Inventory year</v></c><c r="U2" s="161"><v>2020</v></c></row><row r="3" spans="1:30" ht="28.5" customHeight="1"><c r="A3" s="254"/><c r="D3" s="254"/><c r="E3" s="254"/><c r="F3" s="254"/><c r="G3" s="254"/><c r="H3" s="254"/><c r="I3" s="254"/><c r="J3" s="127"/><c r="K3" s="127"/><c r="T3" s="27"/></row><row r="4" spans="1:30" ht="46.5" customHeight="1"><c r="A4" s="280" t="str"><f>Translation!A154</f><v>PLAN EMISSION INVENTORY IN 2020 (implementing sustainable energy actions)</v></c><c r="B4" s="280"/><c r="C4" s="280"/><c r="D4" s="280"/><c r="E4" s="280"/><c r="F4" s="280"/><c r="G4" s="280"/><c r="H4" s="280"/><c r="I4" s="280"/><c r="J4" s="280"/><c r="K4" s="280"/><c r="L4" s="280"/><c r="M4" s="280"/><c r="N4" s="280"/><c r="O4" s="280"/><c r="P4" s="280"/><c r="Q4" s="280"/><c r="R4" s="280"/><c r="S4" s="280"/><c r="T4" s="280"/><c r="U4" s="280"/><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84" t="str"><f>Translation!$A$53</f><v>Mandatory fields</v></c><c r="T6" s="284"/><c r="U6" s="284"/></row><row r="7" spans="1:30" s="135" customFormat="1" ht="36"><c r="A7" s="133" t="s"><v>0</v></c><c r="B7" s="134" t="str"><f>Translation!A50</f><v>GENERAL DATA</v></c><c r="L7" s="136"/></row><row r="8" spans="1:30" ht="21"><c r="A8" s="137"/><c r="B8" s="139" t="str"><f>Translation!A52</f><v>Number of inhabitants</v></c><c r="C8" s="334"><v>15234</v></c><c r="D8" s="335"/><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36" t="str"><f>'Start here'!F7</f><v>IPCC emission factors</v></c><c r="D10" s="336"/><c r="E10" s="336"/><c r="F10" s="336"/><c r="G10" s="336"/><c r="H10" s="336"/><c r="I10" s="336"/><c r="J10" s="336"/><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4" t="str"><f>Translation!A56</f><v>DEMAND SECTOR</v></c><c r="C14" s="296" t="str"><f>Translation!A93</f><v>ENERGY FOR FINAL USE</v></c><c r="D14" s="297"/><c r="E14" s="297"/><c r="F14" s="297"/><c r="G14" s="297"/><c r="H14" s="297"/><c r="I14" s="297"/><c r="J14" s="297"/><c r="K14" s="297"/><c r="L14" s="297"/><c r="M14" s="297"/><c r="N14" s="297"/><c r="O14" s="297"/><c r="P14" s="297"/><c r="Q14" s="297"/><c r="R14" s="297"/><c r="S14" s="297"/><c r="T14" s="297"/><c r="U14" s="298"/></row><row r="15" spans="1:30" s="55" customFormat="1" ht="18" customHeight="1"><c r="B15" s="295"/><c r="C15" s="296" t="str"><f>Translation!A94</f><v>Centralized energy services</v></c><c r="D15" s="297"/><c r="E15" s="297"/><c r="F15" s="298"/><c r="G15" s="296" t="str"><f>Translation!A98</f><v>Fossil fuels</v></c><c r="H15" s="297"/><c r="I15" s="297"/><c r="J15" s="297"/><c r="K15" s="297"/><c r="L15" s="297"/><c r="M15" s="298"/><c r="N15" s="296" t="str"><f>Translation!A105</f><v>Renewable energy sources (excluding electricity and heat sold to public networks)</v></c><c r="O15" s="297"/><c r="P15" s="297"/><c r="Q15" s="297"/><c r="R15" s="297"/><c r="S15" s="297"/><c r="T15" s="298"/><c r="U15" s="294" t="str"><f>Translation!A118</f><v>TOTAL</v></c></row><row r="16" spans="1:30" s="66" customFormat="1" ht="67.5" customHeight="1"><c r="B16" s="65" t="str"><f>Translation!A58</f><v>Sector description</v></c><c r="C16" s="258" t="str"><f>Translation!A95</f><v>Electricity from public grid</v></c><c r="D16" s="258" t="str"><f>Translation!A96</f><v>Heat from district heating</v></c><c r="E16" s="258" t="str"><f>Translation!A97</f><v>Cold from district cooling</v></c><c r="F16" s="258" t="str"><f>Translation!A116</f><v>Subtotal</v></c><c r="G16" s="258" t="str"><f>Translation!A99</f><v>Fueloil</v></c><c r="H16" s="258" t="str"><f>Translation!A100</f><v>Diesel</v></c><c r="I16" s="258" t="str"><f>Translation!A101</f><v>Gasoline</v></c><c r="J16" s="258" t="str"><f>Translation!A102</f><v>LPG</v></c><c r="K16" s="258" t="str"><f>Translation!A103</f><v>Natural gas</v></c><c r="L16" s="258" t="str"><f>Translation!A104</f><v>Coal</v></c><c r="M16" s="258" t="str"><f>Translation!A116</f><v>Subtotal</v></c><c r="N16" s="258" t="str"><f>Translation!A108</f><v>Hydro</v></c><c r="O16" s="258" t="str"><f>Translation!A109</f><v>Wind</v></c><c r="P16" s="258" t="str"><f>Translation!A110</f><v>Solar</v></c><c r="Q16" s="258" t="str"><f>Translation!A111</f><v>Geothermal</v></c><c r="R16" s="258" t="str"><f>Translation!A112</f><v>Ocean</v></c><c r="S16" s="258" t="str"><f>Translation!A113</f><v>Biomass</v></c><c r="T16" s="258" t="str"><f>Translation!A116</f><v>Subtotal</v></c><c r="U16" s="295"/></row><row r="17" spans="1:21" s="21" customFormat="1" ht="15.75"><c r="A17" s="22"/><c r="B17" s="70" t="str"><f>Translation!A59</f><v>RESIDENTIAL</v></c><c r="C17" s="124"><v>50680.4815413342</v></c><c r="D17" s="124"><v>0</v></c><c r="E17" s="124"><v>0</v></c><c r="F17" s="68"><v>50680.481541334229</v></c><c r="G17" s="124"><v>23096.295765580402</v></c><c r="H17" s="124"><v>0</v></c><c r="I17" s="124"><v>0</v></c><c r="J17" s="124"><v>3307.3301088557728</v></c><c r="K17" s="124"><v>0</v></c><c r="L17" s="124"><v>0</v></c><c r="M17" s="68"><f t="shared" ref="M17:M52" si="0">SUM(G17:L17)</f><v>26403.625874436177</v></c><c r="N17" s="124"><v>0</v></c><c r="O17" s="124"><v>0</v></c><c r="P17" s="124"><v>6368.73603895411</v></c><c r="Q17" s="124"><v>175.54785218100307</v></c><c r="R17" s="124"><v>0</v></c><c r="S17" s="124"><v>3533.4631785150623</v></c><c r="T17" s="68"><f t="shared" ref="T17:T52" si="1">SUM(N17:S17)</f><v>10077.747069650175</v></c><c r="U17" s="68"><f t="shared" ref="U17:U52" si="2">F17+M17+T17</f><v>87161.854485420583</v></c></row><row r="18" spans="1:21" s="21" customFormat="1" ht="15.75"><c r="A18" s="22"/><c r="B18" s="197" t="str"><f>Translation!A60</f><v>Hot water</v></c><c r="C18" s="158"><v>1520.4144462400259</v></c><c r="D18" s="158"><v>0</v></c><c r="E18" s="158"><v>0</v></c><c r="F18" s="68"><v>1520.4144462400259</v></c><c r="G18" s="158"><v>1330.3626404600234</v></c><c r="H18" s="158"><v>0</v></c><c r="I18" s="158"><v>0</v></c><c r="J18" s="158"><v>95.025902890001618</v></c><c r="K18" s="158"><v>0</v></c><c r="L18" s="158"><v>0</v></c><c r="M18" s="68"><f t="shared" si="0"/><v>1425.388543350025</v></c><c r="N18" s="158"><v>0</v></c><c r="O18" s="158"><v>0</v></c><c r="P18" s="158"><v>6176.6836878501063</v></c><c r="Q18" s="158"><v>47.512951445000809</v></c><c r="R18" s="158"><v>0</v></c><c r="S18" s="158"><v>332.59066011500585</v></c><c r="T18" s="68"><f t="shared" si="1"/><v>6556.7872994101126</v></c><c r="U18" s="68"><f t="shared" si="2"/><v>9502.5902890001635</v></c></row><row r="19" spans="1:21" s="21" customFormat="1" ht="15.75"><c r="A19" s="22"/><c r="B19" s="197" t="str"><f>Translation!A61</f><v>Heating and cooling</v></c><c r="C19" s="158"><v>36489.946709760647</v></c><c r="D19" s="158"><v>0</v></c><c r="E19" s="158"><v>0</v></c><c r="F19" s="68"><v>36489.946709760647</v></c><c r="G19" s="158"><v>21765.93312512038</v></c><c r="H19" s="158"><v>0</v></c><c r="I19" s="158"><v>0</v></c><c r="J19" s="158"><v>2560.6980147200456</v></c><c r="K19" s="158"><v>0</v></c><c r="L19" s="158"><v>0</v></c><c r="M19" s="68"><f t="shared" si="0"/><v>24326.631139840425</v></c><c r="N19" s="158"><v>0</v></c><c r="O19" s="158"><v>0</v></c><c r="P19" s="158"><v>192.05235110400335</v></c><c r="Q19" s="158"><v>128.03490073600224</v></c><c r="R19" s="158"><v>0</v></c><c r="S19" s="158"><v>3200.8725184000564</v></c><c r="T19" s="68"><f t="shared" si="1"/><v>3520.959770240062</v></c><c r="U19" s="68"><f t="shared" si="2"/><v>64337.53761984114</v></c></row><row r="20" spans="1:21" s="21" customFormat="1" ht="15.75"><c r="A20" s="22"/><c r="B20" s="197" t="str"><f>Translation!A62</f><v>Lighting</v></c><c r="C20" s="158"><v>2027.2192616533682</v></c><c r="D20" s="158"><v>0</v></c><c r="E20" s="158"><v>0</v></c><c r="F20" s="68"><v>2027.2192616533682</v></c><c r="G20" s="158"><v>0</v></c><c r="H20" s="158"><v>0</v></c><c r="I20" s="158"><v>0</v></c><c r="J20" s="158"><v>0</v></c><c r="K20" s="158"><v>0</v></c><c r="L20" s="158"><v>0</v></c><c r="M20" s="68"><f t="shared" si="0"/><v>0</v></c><c r="N20" s="158"><v>0</v></c><c r="O20" s="158"><v>0</v></c><c r="P20" s="158"><v>0</v></c><c r="Q20" s="158"><v>0</v></c><c r="R20" s="158"><v>0</v></c><c r="S20" s="158"><v>0</v></c><c r="T20" s="68"><f t="shared" si="1"/><v>0</v></c><c r="U20" s="68"><f t="shared" si="2"/><v>2027.2192616533682</v></c></row><row r="21" spans="1:21" s="21" customFormat="1" ht="15.75"><c r="A21" s="22"/><c r="B21" s="197" t="str"><f>Translation!A63</f><v>Cooking</v></c><c r="C21" s="158"><v>1520.4144462400259</v></c><c r="D21" s="158"><v>0</v></c><c r="E21" s="158"><v>0</v></c><c r="F21" s="68"><v>1520.4144462400259</v></c><c r="G21" s="158"><v>0</v></c><c r="H21" s="158"><v>0</v></c><c r="I21" s="158"><v>0</v></c><c r="J21" s="158"><v>651.60619124572543</v></c><c r="K21" s="158"><v>0</v></c><c r="L21" s="158"><v>0</v></c><c r="M21" s="68"><f t="shared" si="0"/><v>651.60619124572543</v></c><c r="N21" s="158"><v>0</v></c><c r="O21" s="158"><v>0</v></c><c r="P21" s="158"><v>0</v></c><c r="Q21" s="158"><v>0</v></c><c r="R21" s="158"><v>0</v></c><c r="S21" s="158"><v>0</v></c><c r="T21" s="68"><f t="shared" si="1"/><v>0</v></c><c r="U21" s="68"><f t="shared" si="2"/><v>2172.0206374857512</v></c></row><row r="22" spans="1:21" s="21" customFormat="1" ht="15.75"><c r="A22" s="22"/><c r="B22" s="197" t="str"><f>Translation!A64</f><v>Refrigerator and freezers</v></c><c r="C22" s="158"><v>0</v></c><c r="D22" s="158"><v>0</v></c><c r="E22" s="158"><v>0</v></c><c r="F22" s="68"><v>0</v></c><c r="G22" s="158"><v>0</v></c><c r="H22" s="158"><v>0</v></c><c r="I22" s="158"><v>0</v></c><c r="J22" s="158"><v>0</v></c><c r="K22" s="158"><v>0</v></c><c r="L22" s="158"><v>0</v></c><c r="M22" s="68"><f t="shared" si="0"/><v>0</v></c><c r="N22" s="158"><v>0</v></c><c r="O22" s="158"><v>0</v></c><c r="P22" s="158"><v>0</v></c><c r="Q22" s="158"><v>0</v></c><c r="R22" s="158"><v>0</v></c><c r="S22" s="158"><v>0</v></c><c r="T22" s="68"><f t="shared" si="1"/><v>0</v></c><c r="U22" s="68"><f t="shared" si="2"/><v>0</v></c></row><row r="23" spans="1:21" s="21" customFormat="1" ht="15.75"><c r="A23" s="22"/><c r="B23" s="197" t="str"><f>Translation!A65</f><v>Laundry machines and dryers</v></c><c r="C23" s="158"><v>0</v></c><c r="D23" s="158"><v>0</v></c><c r="E23" s="158"><v>0</v></c><c r="F23" s="68"><v>0</v></c><c r="G23" s="158"><v>0</v></c><c r="H23" s="158"><v>0</v></c><c r="I23" s="158"><v>0</v></c><c r="J23" s="158"><v>0</v></c><c r="K23" s="158"><v>0</v></c><c r="L23" s="158"><v>0</v></c><c r="M23" s="68"><f t="shared" si="0"/><v>0</v></c><c r="N23" s="158"><v>0</v></c><c r="O23" s="158"><v>0</v></c><c r="P23" s="158"><v>0</v></c><c r="Q23" s="158"><v>0</v></c><c r="R23" s="158"><v>0</v></c><c r="S23" s="158"><v>0</v></c><c r="T23" s="68"><f t="shared" si="1"/><v>0</v></c><c r="U23" s="68"><f t="shared" si="2"/><v>0</v></c></row><row r="24" spans="1:21" s="21" customFormat="1" ht="15.75"><c r="A24" s="22"/><c r="B24" s="197" t="str"><f>Translation!A66</f><v>Dish washing</v></c><c r="C24" s="158"><v>0</v></c><c r="D24" s="158"><v>0</v></c><c r="E24" s="158"><v>0</v></c><c r="F24" s="68"><v>0</v></c><c r="G24" s="158"><v>0</v></c><c r="H24" s="158"><v>0</v></c><c r="I24" s="158"><v>0</v></c><c r="J24" s="158"><v>0</v></c><c r="K24" s="158"><v>0</v></c><c r="L24" s="158"><v>0</v></c><c r="M24" s="68"><f t="shared" si="0"/><v>0</v></c><c r="N24" s="158"><v>0</v></c><c r="O24" s="158"><v>0</v></c><c r="P24" s="158"><v>0</v></c><c r="Q24" s="158"><v>0</v></c><c r="R24" s="158"><v>0</v></c><c r="S24" s="158"><v>0</v></c><c r="T24" s="68"><f t="shared" si="1"/><v>0</v></c><c r="U24" s="68"><f t="shared" si="2"/><v>0</v></c></row><row r="25" spans="1:21" s="21" customFormat="1" ht="15.75"><c r="A25" s="22"/><c r="B25" s="197" t="str"><f>Translation!A67</f><v>Tv sets</v></c><c r="C25" s="158"><v>0</v></c><c r="D25" s="158"><v>0</v></c><c r="E25" s="158"><v>0</v></c><c r="F25" s="68"><v>0</v></c><c r="G25" s="158"><v>0</v></c><c r="H25" s="158"><v>0</v></c><c r="I25" s="158"><v>0</v></c><c r="J25" s="158"><v>0</v></c><c r="K25" s="158"><v>0</v></c><c r="L25" s="158"><v>0</v></c><c r="M25" s="68"><f t="shared" si="0"/><v>0</v></c><c r="N25" s="158"><v>0</v></c><c r="O25" s="158"><v>0</v></c><c r="P25" s="158"><v>0</v></c><c r="Q25" s="158"><v>0</v></c><c r="R25" s="158"><v>0</v></c><c r="S25" s="158"><v>0</v></c><c r="T25" s="68"><f t="shared" si="1"/><v>0</v></c><c r="U25" s="68"><f t="shared" si="2"/><v>0</v></c></row><row r="26" spans="1:21" s="21" customFormat="1" ht="15.75"><c r="A26" s="22"/><c r="B26" s="197" t="str"><f>Translation!A68</f><v>Other electric appliances</v></c><c r="C26" s="158"><v>9122.4866774401617</v></c><c r="D26" s="158"><v>0</v></c><c r="E26" s="158"><v>0</v></c><c r="F26" s="68"><v>9122.4866774401617</v></c><c r="G26" s="158"><v>0</v></c><c r="H26" s="158"><v>0</v></c><c r="I26" s="158"><v>0</v></c><c r="J26" s="158"><v>0</v></c><c r="K26" s="158"><v>0</v></c><c r="L26" s="158"><v>0</v></c><c r="M26" s="68"><f t="shared" si="0"/><v>0</v></c><c r="N26" s="158"><v>0</v></c><c r="O26" s="158"><v>0</v></c><c r="P26" s="158"><v>0</v></c><c r="Q26" s="158"><v>0</v></c><c r="R26" s="158"><v>0</v></c><c r="S26" s="158"><v>0</v></c><c r="T26" s="68"><f t="shared" si="1"/><v>0</v></c><c r="U26" s="68"><f t="shared" si="2"/><v>9122.4866774401617</v></c></row><row r="27" spans="1:21" s="21" customFormat="1" ht="15.75"><c r="A27" s="22"/><c r="B27" s="70" t="str"><f>Translation!A69</f><v>PRIMARY SECTOR</v></c><c r="C27" s="124"><v>2633.3579222071398</v></c><c r="D27" s="124"><v>0</v></c><c r="E27" s="124"><v>0</v></c><c r="F27" s="68"><v>2633.3579222071398</v></c><c r="G27" s="124"><v>395.3172459045901</v></c><c r="H27" s="124"><v>0</v></c><c r="I27" s="124"><v>0</v></c><c r="J27" s="124"><v>225.76775934270978</v></c><c r="K27" s="124"><v>0</v></c><c r="L27" s="124"><v>0</v></c><c r="M27" s="68"><f t="shared" si="0"/><v>621.08500524729993</v></c><c r="N27" s="124"><v>0</v></c><c r="O27" s="124"><v>314.90079787230366</v></c><c r="P27" s="124"><v>0</v></c><c r="Q27" s="124"><v>0</v></c><c r="R27" s="124"><v>0</v></c><c r="S27" s="124"><v>1053.6055862144162</v></c><c r="T27" s="68"><f t="shared" si="1"/><v>1368.5063840867199</v></c><c r="U27" s="68"><f t="shared" si="2"/><v>4622.9493115411597</v></c></row><row r="28" spans="1:21" s="21" customFormat="1" ht="15.75"><c r="A28" s="22"/><c r="B28" s="198" t="str"><f>Translation!A70</f><v>Agriculture, forestry and fishing</v></c><c r="C28" s="158"><v>2633.3579222071398</v></c><c r="D28" s="158"><v>0</v></c><c r="E28" s="158"><v>0</v></c><c r="F28" s="68"><v>2633.3579222071398</v></c><c r="G28" s="158"><v>395.3172459045901</v></c><c r="H28" s="158"><v>0</v></c><c r="I28" s="158"><v>0</v></c><c r="J28" s="158"><v>225.76775934270978</v></c><c r="K28" s="158"><v>0</v></c><c r="L28" s="158"><v>0</v></c><c r="M28" s="68"><f t="shared" si="0"/><v>621.08500524729993</v></c><c r="N28" s="158"><v>0</v></c><c r="O28" s="158"><v>314.90079787230366</v></c><c r="P28" s="158"><v>0</v></c><c r="Q28" s="158"><v>0</v></c><c r="R28" s="158"><v>0</v></c><c r="S28" s="158"><v>1053.6055862144162</v></c><c r="T28" s="68"><f t="shared" si="1"/><v>1368.5063840867199</v></c><c r="U28" s="68"><f t="shared" si="2"/><v>4622.9493115411597</v></c></row><row r="29" spans="1:21" s="21" customFormat="1" ht="15.75"><c r="A29" s="22"/><c r="B29" s="198" t="str"><f>Translation!A71</f><v>Mining and quarrying</v></c><c r="C29" s="158"><v>0</v></c><c r="D29" s="158"><v>0</v></c><c r="E29" s="158"><v>0</v></c><c r="F29" s="68"><v>0</v></c><c r="G29" s="158"><v>0</v></c><c r="H29" s="158"><v>0</v></c><c r="I29" s="158"><v>0</v></c><c r="J29" s="158"><v>0</v></c><c r="K29" s="158"><v>0</v></c><c r="L29" s="158"><v>0</v></c><c r="M29" s="68"><f t="shared" si="0"/><v>0</v></c><c r="N29" s="158"><v>0</v></c><c r="O29" s="158"><v>0</v></c><c r="P29" s="158"><v>0</v></c><c r="Q29" s="158"><v>0</v></c><c r="R29" s="158"><v>0</v></c><c r="S29" s="158"><v>0</v></c><c r="T29" s="68"><f t="shared" si="1"/><v>0</v></c><c r="U29" s="68"><f t="shared" si="2"/><v>0</v></c></row><row r="30" spans="1:21" s="21" customFormat="1" ht="15.75"><c r="A30" s="22"/><c r="B30" s="65" t="str"><f>Translation!A72</f><v>SECONDARY SECTOR</v></c><c r="C30" s="124"><f>SUM(C31:C33)</f><v>8014.1240558506479</v></c><c r="D30" s="124"><f>SUM(D31:D33)</f><v>0</v></c><c r="E30" s="124"><f>SUM(E31:E33)</f><v>0</v></c><c r="F30" s="68"><f t="shared" ref="F30" si="3">SUM(C30:E30)</f><v>8014.1240558506479</v></c><c r="G30" s="124"><f t="shared" ref="G30:L30" si="4">SUM(G31:G33)</f><v>1203.0728612239884</v></c><c r="H30" s="124"><f t="shared" si="4"/><v>0</v></c><c r="I30" s="124"><f t="shared" si="4"/><v>0</v></c><c r="J30" s="124"><f t="shared" si="4"/><v>687.08124175821331</v></c><c r="K30" s="124"><f t="shared" si="4"/><v>0</v></c><c r="L30" s="124"><f t="shared" si="4"/><v>0</v></c><c r="M30" s="68"><f t="shared" ref="M30" si="5">SUM(G30:L30)</f><v>1890.1541029822017</v></c><c r="N30" s="124"><f t="shared" ref="N30:S30" si="6">SUM(N31:N33)</f><v>0</v></c><c r="O30" s="124"><f t="shared" si="6"/><v>0</v></c><c r="P30" s="124"><f t="shared" si="6"/><v>157.68194364046977</v></c><c r="Q30" s="124"><f t="shared" si="6"/><v>0</v></c><c r="R30" s="124"><f t="shared" si="6"/><v>0</v></c><c r="S30" s="124"><f t="shared" si="6"/><v>52.560647880156587</v></c><c r="T30" s="68"><f t="shared" si="1"/><v>210.24259152062635</v></c><c r="U30" s="68"><f t="shared" si="2"/><v>10114.520750353475</v></c></row><row r="31" spans="1:21" s="21" customFormat="1" ht="15.75"><c r="A31" s="22"/><c r="B31" s="79" t="str"><f>Translation!A73</f><v>Manufacturing</v></c><c r="C31" s="158"><v>3574.1240558506479</v></c><c r="D31" s="158"><v>0</v></c><c r="E31" s="158"><v>0</v></c><c r="F31" s="68"><v>3574.1240558506479</v></c><c r="G31" s="158"><v>536.54418427708185</v></c><c r="H31" s="158"><v>0</v></c><c r="I31" s="158"><v>0</v></c><c r="J31" s="158"><v>306.42320700026983</v></c><c r="K31" s="158"><v>0</v></c><c r="L31" s="158"><v>0</v></c><c r="M31" s="68"><f t="shared" si="0"/><v>842.96739127735168</v></c><c r="N31" s="158"><v>0</v></c><c r="O31" s="158"><v>0</v></c><c r="P31" s="158"><v>157.68194364046977</v></c><c r="Q31" s="158"><v>0</v></c><c r="R31" s="158"><v>0</v></c><c r="S31" s="158"><v>52.560647880156587</v></c><c r="T31" s="68"><f t="shared" si="1"/><v>210.24259152062635</v></c><c r="U31" s="68"><f t="shared" si="2"/><v>4627.3340386486261</v></c></row><row r="32" spans="1:21" s="21" customFormat="1" ht="30"><c r="A32" s="22"/><c r="B32" s="198" t="str"><f>Translation!A74</f><v>Water supply, sewerage, waste management and remediation activities</v></c><c r="C32" s="158"><v>3785</v></c><c r="D32" s="158"><v>0</v></c><c r="E32" s="158"><v>0</v></c><c r="F32" s="68"><v>3785</v></c><c r="G32" s="158"><v>568.20068519009942</v></c><c r="H32" s="158"><v>0</v></c><c r="I32" s="158"><v>0</v></c><c r="J32" s="158"><v>324.50240125198565</v></c><c r="K32" s="158"><v>0</v></c><c r="L32" s="158"><v>0</v></c><c r="M32" s="68"><f t="shared" si="0"/><v>892.70308644208512</v></c><c r="N32" s="158"><v>0</v></c><c r="O32" s="158"><v>0</v></c><c r="P32" s="158"><v>0</v></c><c r="Q32" s="158"><v>0</v></c><c r="R32" s="158"><v>0</v></c><c r="S32" s="158"><v>0</v></c><c r="T32" s="68"><f t="shared" si="1"/><v>0</v></c><c r="U32" s="68"><f t="shared" si="2"/><v>4677.7030864420849</v></c></row><row r="33" spans="1:21" s="21" customFormat="1" ht="15.75"><c r="A33" s="22"/><c r="B33" s="198" t="str"><f>Translation!A75</f><v>Construction</v></c><c r="C33" s="158"><v>655</v></c><c r="D33" s="158"><v>0</v></c><c r="E33" s="158"><v>0</v></c><c r="F33" s="68"><v>655</v></c><c r="G33" s="158"><v>98.327991756807165</v></c><c r="H33" s="158"><v>0</v></c><c r="I33" s="158"><v>0</v></c><c r="J33" s="158"><v>56.155633505957887</v></c><c r="K33" s="158"><v>0</v></c><c r="L33" s="158"><v>0</v></c><c r="M33" s="68"><f t="shared" si="0"/><v>154.48362526276506</v></c><c r="N33" s="158"><v>0</v></c><c r="O33" s="158"><v>0</v></c><c r="P33" s="158"><v>0</v></c><c r="Q33" s="158"><v>0</v></c><c r="R33" s="158"><v>0</v></c><c r="S33" s="158"><v>0</v></c><c r="T33" s="68"><f t="shared" si="1"/><v>0</v></c><c r="U33" s="68"><f t="shared" si="2"/><v>809.48362526276503</v></c></row><row r="34" spans="1:21" s="21" customFormat="1" ht="15.75"><c r="A34" s="22"/><c r="B34" s="65" t="str"><f>Translation!A76</f><v>TERTIARY SECTOR</v></c><c r="C34" s="124"><f>SUM(C35:C42)</f><v>124925.36805161113</v></c><c r="D34" s="124"><f>SUM(D35:D42)</f><v>0</v></c><c r="E34" s="124"><f>SUM(E35:E42)</f><v>0</v></c><c r="F34" s="68"><f t="shared" ref="F34" si="7">SUM(C34:E34)</f><v>124925.36805161113</v></c><c r="G34" s="124"><f t="shared" ref="G34:L34" si="8">SUM(G35:G42)</f><v>18281.445126971583</v></c><c r="H34" s="124"><f t="shared" si="8"/><v>0</v></c><c r="I34" s="124"><f t="shared" si="8"/><v>0</v></c><c r="J34" s="124"><f t="shared" si="8"/><v>10440.629511162826</v></c><c r="K34" s="124"><f t="shared" si="8"/><v>0</v></c><c r="L34" s="124"><f t="shared" si="8"/><v>0</v></c><c r="M34" s="68"><f t="shared" ref="M34" si="9">SUM(G34:L34)</f><v>28722.074638134407</v></c><c r="N34" s="124"><f t="shared" ref="N34:S34" si="10">SUM(N35:N42)</f><v>0</v></c><c r="O34" s="124"><f t="shared" si="10"/><v>0</v></c><c r="P34" s="124"><f t="shared" si="10"/><v>5219.1270450588272</v></c><c r="Q34" s="124"><f t="shared" si="10"/><v>0</v></c><c r="R34" s="124"><f t="shared" si="10"/><v>0</v></c><c r="S34" s="124"><f t="shared" si="10"/><v>1739.7090150196091</v></c><c r="T34" s="68"><f t="shared" si="1"/><v>6958.8360600784363</v></c><c r="U34" s="68"><f t="shared" si="2"/><v>160606.27874982398</v></c></row><row r="35" spans="1:21" s="21" customFormat="1" ht="30"><c r="A35" s="22"/><c r="B35" s="198" t="str"><f>Translation!A77</f><v xml:space="preserve">Wholesale and retail trade; repair of motor vehicles and motorcycles </v></c><c r="C35" s="158"><v>22034.234754191733</v></c><c r="D35" s="158"><v>0</v></c><c r="E35" s="158"><v>0</v></c><c r="F35" s="68"><v>22034.234754191733</v></c><c r="G35" s="158"><v>3307.7588599659812</v></c><c r="H35" s="158"><v>0</v></c><c r="I35" s="158"><v>0</v></c><c r="J35" s="158"><v>1889.0784907490549</v></c><c r="K35" s="158"><v>0</v></c><c r="L35" s="158"><v>0</v></c><c r="M35" s="68"><f t="shared" si="0"/><v>5196.8373507150363</v></c><c r="N35" s="223"><v>0</v></c><c r="O35" s="223"><v>0</v></c><c r="P35" s="223"><v>944.32434660821718</v></c><c r="Q35" s="223"><v>0</v></c><c r="R35" s="223"><v>0</v></c><c r="S35" s="223"><v>314.77478220273906</v></c><c r="T35" s="68"><f t="shared" si="1"/><v>1259.0991288109562</v></c><c r="U35" s="68"><f t="shared" si="2"/><v>28490.171233717723</v></c></row><row r="36" spans="1:21" s="21" customFormat="1" ht="15.75"><c r="A36" s="22"/><c r="B36" s="198" t="str"><f>Translation!A78</f><v>Accomodation and food service activities</v></c><c r="C36" s="158"><v>78502.671276524794</v></c><c r="D36" s="158"><v>0</v></c><c r="E36" s="158"><v>0</v></c><c r="F36" s="68"><v>78502.671276524794</v></c><c r="G36" s="158"><v>11784.748113229727</v></c><c r="H36" s="158"><v>0</v></c><c r="I36" s="158"><v>0</v></c><c r="J36" s="158"><v>6730.331660218646</v></c><c r="K36" s="158"><v>0</v></c><c r="L36" s="158"><v>0</v></c><c r="M36" s="68"><f t="shared" si="0"/><v>18515.079773448371</v></c><c r="N36" s="223"><v>0</v></c><c r="O36" s="223"><v>0</v></c><c r="P36" s="223"><v>3364.4001975653482</v></c><c r="Q36" s="223"><v>0</v></c><c r="R36" s="223"><v>0</v></c><c r="S36" s="223"><v>1121.4667325217824</v></c><c r="T36" s="68"><f t="shared" si="1"/><v>4485.8669300871306</v></c><c r="U36" s="68"><f t="shared" si="2"/><v>101503.61798006028</v></c></row><row r="37" spans="1:21" s="21" customFormat="1" ht="15.75"><c r="A37" s="22"/><c r="B37" s="198" t="str"><f>Translation!A79</f><v>General public administration and social security</v></c><c r="C37" s="158"><v>1212.7314928251994</v></c><c r="D37" s="158"><v>0</v></c><c r="E37" s="158"><v>0</v></c><c r="F37" s="68"><v>1212.7314928251994</v></c><c r="G37" s="158"><v>182.05412554158264</v></c><c r="H37" s="158"><v>0</v></c><c r="I37" s="158"><v>0</v></c><c r="J37" s="158"><v>103.97206908736653</v></c><c r="K37" s="158"><v>0</v></c><c r="L37" s="158"><v>0</v></c><c r="M37" s="68"><f t="shared" si="0"/><v>286.02619462894916</v></c><c r="N37" s="223"><v>0</v></c><c r="O37" s="223"><v>0</v></c><c r="P37" s="223"><v>51.974206835365692</v></c><c r="Q37" s="223"><v>0</v></c><c r="R37" s="223"><v>0</v></c><c r="S37" s="223"><v>17.324735611788562</v></c><c r="T37" s="68"><f t="shared" si="1"/><v>69.298942447154246</v></c><c r="U37" s="68"><f t="shared" si="2"/><v>1568.056629901303</v></c></row><row r="38" spans="1:21" s="21" customFormat="1" ht="15.75"><c r="A38" s="22"/><c r="B38" s="198" t="str"><f>Translation!A80</f><v>Defense, justice, police and fire departments</v></c><c r="C38" s="158"><v>172.82902886685667</v></c><c r="D38" s="158"><v>0</v></c><c r="E38" s="158"><v>0</v></c><c r="F38" s="68"><v>172.82902886685667</v></c><c r="G38" s="158"><v>25.944933321766829</v></c><c r="H38" s="158"><v>0</v></c><c r="I38" s="158"><v>0</v></c><c r="J38" s="158"><v>14.817287945401254</v></c><c r="K38" s="158"><v>0</v></c><c r="L38" s="158"><v>0</v></c><c r="M38" s="68"><f t="shared" si="0"/><v>40.762221267168087</v></c><c r="N38" s="223"><v>0</v></c><c r="O38" s="223"><v>0</v></c><c r="P38" s="223"><v>7.4069583800081444</v></c><c r="Q38" s="223"><v>0</v></c><c r="R38" s="223"><v>0</v></c><c r="S38" s="223"><v>2.4689861266693813</v></c><c r="T38" s="68"><f t="shared" si="1"/><v>9.8759445066775253</v></c><c r="U38" s="68"><f t="shared" si="2"/><v>223.46719464070227</v></c></row><row r="39" spans="1:21" s="21" customFormat="1" ht="15.75"><c r="A39" s="22"/><c r="B39" s="198" t="str"><f>Translation!A81</f><v>Education</v></c><c r="C39" s="158"><v>1603.3698958331461</v></c><c r="D39" s="158"><v>0</v></c><c r="E39" s="158"><v>0</v></c><c r="F39" s="68"><v>1603.3698958331461</v></c><c r="G39" s="158"><v>240.6963998482357</v></c><c r="H39" s="158"><v>0</v></c><c r="I39" s="158"><v>0</v></c><c r="J39" s="158"><v>137.46298052655274</v></c><c r="K39" s="158"><v>0</v></c><c r="L39" s="158"><v>0</v></c><c r="M39" s="68"><f t="shared" si="0"/><v>378.15938037478844</v></c><c r="N39" s="223"><v>0</v></c><c r="O39" s="223"><v>0</v></c><c r="P39" s="223"><v>68.715852678563408</v></c><c r="Q39" s="223"><v>0</v></c><c r="R39" s="223"><v>0</v></c><c r="S39" s="223"><v>22.90528422618781</v></c><c r="T39" s="68"><f t="shared" si="1"/><v>91.621136904751211</v></c><c r="U39" s="68"><f t="shared" si="2"/><v>2073.1504131126858</v></c></row><row r="40" spans="1:21" s="21" customFormat="1" ht="15.75"><c r="A40" s="22"/><c r="B40" s="198" t="str"><f>Translation!A82</f><v>Human health and social work activities</v></c><c r="C40" s="158"><v>7383.1566432474465</v></c><c r="D40" s="158"><v>0</v></c><c r="E40" s="158"><v>0</v></c><c r="F40" s="68"><v>7383.1566432474465</v></c><c r="G40" s="158"><v>1108.352619170154</v></c><c r="H40" s="158"><v>0</v></c><c r="I40" s="158"><v>0</v></c><c r="J40" s="158"><v>632.98601309203332</v></c><c r="K40" s="158"><v>0</v></c><c r="L40" s="158"><v>0</v></c><c r="M40" s="68"><f t="shared" si="0"/><v>1741.3386322621873</v></c><c r="N40" s="223"><v>0</v></c><c r="O40" s="223"><v>0</v></c><c r="P40" s="223"><v>316.42099899631916</v></c><c r="Q40" s="223"><v>0</v></c><c r="R40" s="223"><v>0</v></c><c r="S40" s="223"><v>105.47366633210636</v></c><c r="T40" s="68"><f t="shared" si="1"/><v>421.8946653284255</v></c><c r="U40" s="68"><f t="shared" si="2"/><v>9546.3899408380603</v></c></row><row r="41" spans="1:21" s="21" customFormat="1" ht="15.75"><c r="A41" s="22"/><c r="B41" s="198" t="str"><f>Translation!A83</f><v>Other services</v></c><c r="C41" s="158"><v>10870.637959883485</v></c><c r="D41" s="158"><v>0</v></c><c r="E41" s="158"><v>0</v></c><c r="F41" s="68"><v>10870.637959883485</v></c><c r="G41" s="158"><v>1631.890075894135</v></c><c r="H41" s="158"><v>0</v></c><c r="I41" s="158"><v>0</v></c><c r="J41" s="158"><v>931.98100954377207</v></c><c r="K41" s="158"><v>0</v></c><c r="L41" s="158"><v>0</v></c><c r="M41" s="68"><f t="shared" si="0"/><v>2563.8710854379069</v></c><c r="N41" s="223"><v>0</v></c><c r="O41" s="223"><v>0</v></c><c r="P41" s="223"><v>465.88448399500652</v></c><c r="Q41" s="223"><v>0</v></c><c r="R41" s="223"><v>0</v></c><c r="S41" s="223"><v>155.29482799833551</v></c><c r="T41" s="68"><f t="shared" si="1"/><v>621.17931199334203</v></c><c r="U41" s="68"><f t="shared" si="2"/><v>14055.688357314735</v></c></row><row r="42" spans="1:21" s="21" customFormat="1" ht="15.75"><c r="A42" s="22"/><c r="B42" s="198" t="str"><f>Translation!A84</f><v>Public lighting</v></c><c r="C42" s="158"><v>3145.737000238471</v></c><c r="D42" s="158"><v>0</v></c><c r="E42" s="158"><v>0</v></c><c r="F42" s="68"><v>3145.737000238471</v></c><c r="G42" s="158"><v>0</v></c><c r="H42" s="158"><v>0</v></c><c r="I42" s="158"><v>0</v></c><c r="J42" s="158"><v>0</v></c><c r="K42" s="158"><v>0</v></c><c r="L42" s="158"><v>0</v></c><c r="M42" s="68"><f t="shared" si="0"/><v>0</v></c><c r="N42" s="223"><v>0</v></c><c r="O42" s="223"><v>0</v></c><c r="P42" s="223"><v>0</v></c><c r="Q42" s="223"><v>0</v></c><c r="R42" s="223"><v>0</v></c><c r="S42" s="223"><v>0</v></c><c r="T42" s="68"><f t="shared" si="1"/><v>0</v></c><c r="U42" s="68"><f t="shared" si="2"/><v>3145.737000238471</v></c></row><row r="43" spans="1:21" s="21" customFormat="1" ht="15.75"><c r="A43" s="22"/><c r="B43" s="65" t="str"><f>Translation!A85</f><v>TRANSPORTS</v></c><c r="C43" s="124"><f>SUM(C44:C47)</f><v>36.05785494344493</v></c><c r="D43" s="124"><f>SUM(D44:D47)</f><v>0</v></c><c r="E43" s="124"><f>SUM(E44:E47)</f><v>0</v></c><c r="F43" s="68"><f t="shared" ref="F43" si="11">SUM(C43:E43)</f><v>36.05785494344493</v></c><c r="G43" s="124"><f t="shared" ref="G43:J43" si="12">SUM(G44:G47)</f><v>0</v></c><c r="H43" s="124"><f t="shared" si="12"/><v>128137.53687553105</v></c><c r="I43" s="124"><f t="shared" si="12"/><v>165703.74383171106</v></c><c r="J43" s="124"><f t="shared" si="12"/><v>0</v></c><c r="K43" s="124"><f>SUM(K44:K47)</f><v>0</v></c><c r="L43" s="124"><f t="shared" ref="L43" si="13">SUM(L44:L47)</f><v>0</v></c><c r="M43" s="68"><f t="shared" ref="M43" si="14">SUM(G43:L43)</f><v>293841.28070724208</v></c><c r="N43" s="124"><f t="shared" ref="N43:S43" si="15">SUM(N44:N47)</f><v>0</v></c><c r="O43" s="124"><f t="shared" si="15"/><v>0</v></c><c r="P43" s="124"><f t="shared" si="15"/><v>0</v></c><c r="Q43" s="124"><f t="shared" si="15"/><v>0</v></c><c r="R43" s="124"><f t="shared" si="15"/><v>0</v></c><c r="S43" s="124"><f t="shared" si="15"/><v>5876.8256141448428</v></c><c r="T43" s="68"><f t="shared" si="1"/><v>5876.8256141448428</v></c><c r="U43" s="68"><f t="shared" si="2"/><v>299754.16417633038</v></c></row><row r="44" spans="1:21" s="21" customFormat="1" ht="30"><c r="A44" s="22"/><c r="B44" s="198" t="str"><f>Translation!A86</f><v>Passenger road transport and other passenger road transport services (public transports, taxi, tourism, school buses, etc.)</v></c><c r="C44" s="158"><v>36.05785494344493</v></c><c r="D44" s="158"><v>0</v></c><c r="E44" s="158"><v>0</v></c><c r="F44" s="68"><v>36.05785494344493</v></c><c r="G44" s="158"><v>0</v></c><c r="H44" s="158"><v>2565.0314632458321</v></c><c r="I44" s="158"><v>3317.0242449629186</v></c><c r="J44" s="158"><v>0</v></c><c r="K44" s="158"><v>0</v></c><c r="L44" s="158"><v>0</v></c><c r="M44" s="68"><f t="shared" si="0"/><v>5882.0557082087507</v></c><c r="N44" s="158"><v>0</v></c><c r="O44" s="158"><v>0</v></c><c r="P44" s="158"><v>0</v></c><c r="Q44" s="158"><v>0</v></c><c r="R44" s="158"><v>0</v></c><c r="S44" s="158"><v>117.64111416417502</v></c><c r="T44" s="68"><f t="shared" si="1"/><v>117.64111416417502</v></c><c r="U44" s="68"><f t="shared" si="2"/><v>6035.7546773163704</v></c></row><row r="45" spans="1:21" s="21" customFormat="1" ht="15.75"><c r="A45" s="22"/><c r="B45" s="198" t="str"><f>Translation!A87</f><v>Freight transport by road and removal services</v></c><c r="C45" s="158"><v>0</v></c><c r="D45" s="158"><v>0</v></c><c r="E45" s="158"><v>0</v></c><c r="F45" s="68"><v>0</v></c><c r="G45" s="158"><v>0</v></c><c r="H45" s="158"><v>41040.503411933314</v></c><c r="I45" s="158"><v>53072.387919406698</v></c><c r="J45" s="158"><v>0</v></c><c r="K45" s="158"><v>0</v></c><c r="L45" s="158"><v>0</v></c><c r="M45" s="68"><f t="shared" si="0"/><v>94112.891331340012</v></c><c r="N45" s="158"><v>0</v></c><c r="O45" s="158"><v>0</v></c><c r="P45" s="158"><v>0</v></c><c r="Q45" s="158"><v>0</v></c><c r="R45" s="158"><v>0</v></c><c r="S45" s="158"><v>1882.2578266268004</v></c><c r="T45" s="68"><f t="shared" si="1"/><v>1882.2578266268004</v></c><c r="U45" s="68"><f t="shared" si="2"/><v>95995.149157966807</v></c></row><row r="46" spans="1:21" s="21" customFormat="1" ht="15.75"><c r="A46" s="22"/><c r="B46" s="198" t="str"><f>Translation!A88</f><v>Other fleet for public and private services</v></c><c r="C46" s="158"><v>0</v></c><c r="D46" s="158"><v>0</v></c><c r="E46" s="158"><v>0</v></c><c r="F46" s="68"><v>0</v></c><c r="G46" s="158"><v>0</v></c><c r="H46" s="158"><v>0</v></c><c r="I46" s="158"><v>0</v></c><c r="J46" s="158"><v>0</v></c><c r="K46" s="158"><v>0</v></c><c r="L46" s="158"><v>0</v></c><c r="M46" s="68"><f t="shared" si="0"/><v>0</v></c><c r="N46" s="158"><v>0</v></c><c r="O46" s="158"><v>0</v></c><c r="P46" s="158"><v>0</v></c><c r="Q46" s="158"><v>0</v></c><c r="R46" s="158"><v>0</v></c><c r="S46" s="158"><v>0</v></c><c r="T46" s="68"><f t="shared" si="1"/><v>0</v></c><c r="U46" s="68"><f t="shared" si="2"/><v>0</v></c></row><row r="47" spans="1:21" s="21" customFormat="1" ht="15.75"><c r="A47" s="22"/><c r="B47" s="197" t="str"><f>Translation!A89</f><v>Private transports</v></c><c r="C47" s="158"><v>0</v></c><c r="D47" s="158"><v>0</v></c><c r="E47" s="158"><v>0</v></c><c r="F47" s="68"><v>0</v></c><c r="G47" s="158"><v>0</v></c><c r="H47" s="158"><v>84532.002000351902</v></c><c r="I47" s="158"><v>109314.33166734147</v></c><c r="J47" s="158"><v>0</v></c><c r="K47" s="158"><v>0</v></c><c r="L47" s="158"><v>0</v></c><c r="M47" s="68"><f t="shared" si="0"/><v>193846.33366769337</v></c><c r="N47" s="158"><v>0</v></c><c r="O47" s="158"><v>0</v></c><c r="P47" s="158"><v>0</v></c><c r="Q47" s="158"><v>0</v></c><c r="R47" s="158"><v>0</v></c><c r="S47" s="158"><v>3876.9266733538675</v></c><c r="T47" s="68"><f t="shared" si="1"/><v>3876.9266733538675</v></c><c r="U47" s="68"><f t="shared" si="2"/><v>197723.26034104722</v></c></row><row r="48" spans="1:21" s="21" customFormat="1" ht="15.75"><c r="A48" s="22"/><c r="B48" s="77" t="str"><f>Translation!A117</f><v>TOTAL FOR INTERNAL MARKET</v></c><c r="C48" s="69"><f>C17+C27+C30+C34+C43</f><v>186289.38942594657</v></c><c r="D48" s="69"><f>D17+D27+D30+D34+D43</f><v>0</v></c><c r="E48" s="69"><f>E17+E27+E30+E34+E43</f><v>0</v></c><c r="F48" s="68"><f t="shared" ref="F48" si="16">SUM(C48:E48)</f><v>186289.38942594657</v></c><c r="G48" s="69"><f>G17+G27+G30+G34+G43</f><v>42976.130999680565</v></c><c r="H48" s="69"><f t="shared" ref="H48:L48" si="17">H17+H27+H30+H34+H43</f><v>128137.53687553105</v></c><c r="I48" s="69"><f t="shared" si="17"/><v>165703.74383171106</v></c><c r="J48" s="69"><f>J17+J27+J30+J34+J43</f><v>14660.808621119522</v></c><c r="K48" s="69"><f t="shared" si="17"/><v>0</v></c><c r="L48" s="69"><f t="shared" si="17"/><v>0</v></c><c r="M48" s="68"><f>SUM(G48:L48)</f><v>351478.22032804223</v></c><c r="N48" s="69"><f t="shared" ref="N48:S48" si="18">N17+N27+N30+N34+N43</f><v>0</v></c><c r="O48" s="69"><f t="shared" si="18"/><v>314.90079787230366</v></c><c r="P48" s="69"><f t="shared" si="18"/><v>11745.545027653407</v></c><c r="Q48" s="69"><f t="shared" si="18"/><v>175.54785218100307</v></c><c r="R48" s="69"><f t="shared" si="18"/><v>0</v></c><c r="S48" s="69"><f t="shared" si="18"/><v>12256.164041774085</v></c><c r="T48" s="68"><f t="shared" si="1"/><v>24492.157719480798</v></c><c r="U48" s="68"><f t="shared" si="2"/><v>562259.7674734696</v></c></row><row r="49" spans="2:32" s="66" customFormat="1" ht="30"><c r="B49" s="197" t="str"><f>Translation!A90</f><v>Reexportation (ships, airplanes, industrial free zones, national and international militar installations, etc.)</v></c><c r="C49" s="158"><v>0</v></c><c r="D49" s="158"><v>0</v></c><c r="E49" s="158"><v>0</v></c><c r="F49" s="68"><v>0</v></c><c r="G49" s="158"><v>0</v></c><c r="H49" s="158"><v>0</v></c><c r="I49" s="158"><v>0</v></c><c r="J49" s="158"><v>0</v></c><c r="K49" s="158"><v>0</v></c><c r="L49" s="158"><v>0</v></c><c r="M49" s="68"><f t="shared" si="0"/><v>0</v></c><c r="N49" s="158"><v>0</v></c><c r="O49" s="158"><v>0</v></c><c r="P49" s="158"><v>0</v></c><c r="Q49" s="158"><v>0</v></c><c r="R49" s="158"><v>0</v></c><c r="S49" s="158"><v>0</v></c><c r="T49" s="68"><f t="shared" si="1"/><v>0</v></c><c r="U49" s="68"><f t="shared" si="2"/><v>0</v></c></row><row r="50" spans="2:32" s="66" customFormat="1" ht="30"><c r="B50" s="197" t="str"><f>Translation!A91</f><v>Activities with intensive use of energy for exportation (to exclude in the island energy balance)</v></c><c r="C50" s="158"><v>0</v></c><c r="D50" s="158"><v>0</v></c><c r="E50" s="158"><v>0</v></c><c r="F50" s="68"><v>0</v></c><c r="G50" s="158"><v>0</v></c><c r="H50" s="158"><v>0</v></c><c r="I50" s="158"><v>0</v></c><c r="J50" s="158"><v>0</v></c><c r="K50" s="158"><v>0</v></c><c r="L50" s="158"><v>0</v></c><c r="M50" s="68"><f t="shared" si="0"/><v>0</v></c><c r="N50" s="158"><v>0</v></c><c r="O50" s="158"><v>0</v></c><c r="P50" s="158"><v>0</v></c><c r="Q50" s="158"><v>0</v></c><c r="R50" s="158"><v>0</v></c><c r="S50" s="158"><v>0</v></c><c r="T50" s="68"><f t="shared" si="1"/><v>0</v></c><c r="U50" s="68"><f t="shared" si="2"/><v>0</v></c></row><row r="51" spans="2:32" s="66" customFormat="1" ht="15.75"><c r="B51" s="197" t="str"><f>Translation!A92</f><v>Other (to exclude in the island energy balance)</v></c><c r="C51" s="158"><v>0</v></c><c r="D51" s="158"><v>0</v></c><c r="E51" s="158"><v>0</v></c><c r="F51" s="68"><v>0</v></c><c r="G51" s="158"><v>0</v></c><c r="H51" s="158"><v>0</v></c><c r="I51" s="158"><v>0</v></c><c r="J51" s="158"><v>0</v></c><c r="K51" s="158"><v>0</v></c><c r="L51" s="158"><v>0</v></c><c r="M51" s="68"><f t="shared" si="0"/><v>0</v></c><c r="N51" s="158"><v>0</v></c><c r="O51" s="158"><v>0</v></c><c r="P51" s="158"><v>0</v></c><c r="Q51" s="158"><v>0</v></c><c r="R51" s="158"><v>0</v></c><c r="S51" s="158"><v>0</v></c><c r="T51" s="68"><f t="shared" si="1"/><v>0</v></c><c r="U51" s="68"><f t="shared" si="2"/><v>0</v></c></row><row r="52" spans="2:32" s="55" customFormat="1" ht="15.75"><c r="B52" s="77" t="str"><f>Translation!A118</f><v>TOTAL</v></c><c r="C52" s="57"><v>186289.38942594701</v></c><c r="D52" s="57"><v>0</v></c><c r="E52" s="57"><v>0</v></c><c r="F52" s="68"><v>186289.3894259466</v></c><c r="G52" s="57"><v>42976.130999680565</v></c><c r="H52" s="57"><v>128137.53687553105</v></c><c r="I52" s="57"><v>165703.74383171106</v></c><c r="J52" s="57"><v>14660.808621119522</v></c><c r="K52" s="57"><v>0</v></c><c r="L52" s="57"><v>0</v></c><c r="M52" s="68"><f t="shared" si="0"/><v>351478.22032804223</v></c><c r="N52" s="57"><v>0</v></c><c r="O52" s="57"><v>314.90079787230366</v></c><c r="P52" s="57"><v>11745.545027653407</v></c><c r="Q52" s="57"><v>175.54785218100307</v></c><c r="R52" s="57"><v>0</v></c><c r="S52" s="57"><v>12256.164041774085</v></c><c r="T52" s="68"><f t="shared" si="1"/><v>24492.157719480798</v></c><c r="U52" s="68"><f t="shared" si="2"/><v>562259.7674734696</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4" t="str"><f>Translation!A120</f><v>PRODUCTION SECTOR</v></c><c r="C55" s="296" t="str"><f>Translation!A121</f><v>ENERGY SOURCE</v></c><c r="D55" s="297"/><c r="E55" s="297"/><c r="F55" s="297"/><c r="G55" s="297"/><c r="H55" s="297"/><c r="I55" s="297"/><c r="J55" s="297"/><c r="K55" s="297"/><c r="L55" s="297"/><c r="M55" s="297"/><c r="N55" s="297"/><c r="O55" s="297"/><c r="P55" s="297"/><c r="Q55" s="297"/><c r="R55" s="297"/><c r="S55" s="298"/><c r="T55" s="296" t="str"><f>Translation!A138</f><v>SECONDARY ENERGY CONVERSION</v></c><c r="U55" s="297"/><c r="V55" s="298"/><c r="W55" s="315" t="str"><f>Translation!A129</f><v>ENERGY FLUXES</v></c><c r="X55" s="316"/><c r="Y55" s="316"/><c r="Z55" s="316"/><c r="AA55" s="316"/><c r="AB55" s="317"/><c r="AC55" s="327" t="str"><f>Translation!A118</f><v>TOTAL</v></c><c r="AD55" s="269" t="str"><f>Translation!A137</f><v>Distribution losses and self-consumption</v></c></row><row r="56" spans="2:32" s="55" customFormat="1" ht="18" customHeight="1"><c r="B56" s="295"/><c r="C56" s="331" t="str"><f>Translation!A98</f><v>Fossil fuels</v></c><c r="D56" s="332"/><c r="E56" s="332"/><c r="F56" s="332"/><c r="G56" s="332"/><c r="H56" s="332"/><c r="I56" s="333"/><c r="J56" s="331" t="str"><f>Translation!A106</f><v>Renewable energy sources (from systems connected to public networks)</v></c><c r="K56" s="332"/><c r="L56" s="332"/><c r="M56" s="332"/><c r="N56" s="332"/><c r="O56" s="332"/><c r="P56" s="332"/><c r="Q56" s="332"/><c r="R56" s="333"/><c r="S56" s="269" t="str"><f>Translation!A116</f><v>Subtotal</v></c><c r="T56" s="325" t="str"><f>Translation!A139</f><v>Electricity conversion to cold</v></c><c r="U56" s="325" t="str"><f>Translation!A140</f><v>Heat conversion to cold</v></c><c r="V56" s="269" t="str"><f>Translation!A116</f><v>Subtotal</v></c><c r="W56" s="329" t="str"><f>Translation!A130</f><v>Storage</v></c><c r="X56" s="330"/><c r="Y56" s="328" t="str"><f>Translation!A133</f><v>External connection</v></c><c r="Z56" s="328"/><c r="AA56" s="294" t="str"><f>Translation!A136</f><v>Reexportation and external consumption</v></c><c r="AB56" s="269" t="str"><f>Translation!A116</f><v>Subtotal</v></c><c r="AC56" s="327"/><c r="AD56" s="269"/></row><row r="57" spans="2:32" s="55" customFormat="1" ht="69.75" customHeight="1"><c r="B57" s="73" t="str"><f>Translation!A122</f><v>Energy product</v></c><c r="C57" s="253" t="str"><f>Translation!A99</f><v>Fueloil</v></c><c r="D57" s="253" t="str"><f>Translation!A100</f><v>Diesel</v></c><c r="E57" s="253" t="str"><f>Translation!A101</f><v>Gasoline</v></c><c r="F57" s="253" t="str"><f>Translation!A102</f><v>LPG</v></c><c r="G57" s="253" t="str"><f>Translation!A103</f><v>Natural gas</v></c><c r="H57" s="253" t="str"><f>Translation!A104</f><v>Coal</v></c><c r="I57" s="253" t="str"><f>Translation!A116</f><v>Subtotal</v></c><c r="J57" s="253" t="str"><f>Translation!A108</f><v>Hydro</v></c><c r="K57" s="253" t="str"><f>Translation!A109</f><v>Wind</v></c><c r="L57" s="253" t="str"><f>Translation!A110</f><v>Solar</v></c><c r="M57" s="253" t="str"><f>Translation!A111</f><v>Geothermal</v></c><c r="N57" s="253" t="str"><f>Translation!A112</f><v>Ocean</v></c><c r="O57" s="253" t="str"><f>Translation!A113</f><v>Biomass</v></c><c r="P57" s="253" t="str"><f>Translation!A114</f><v>Urban waste</v></c><c r="Q57" s="253" t="str"><f>Translation!A115</f><v>Energy recovery</v></c><c r="R57" s="253" t="str"><f>Translation!A116</f><v>Subtotal</v></c><c r="S57" s="269"/><c r="T57" s="326"/><c r="U57" s="326"/><c r="V57" s="269"/><c r="W57" s="258" t="str"><f>Translation!A131</f><v>Input to storage</v></c><c r="X57" s="258" t="str"><f>Translation!A132</f><v>Output from storage</v></c><c r="Y57" s="258" t="str"><f>Translation!A134</f><v>Import to island</v></c><c r="Z57" s="258" t="str"><f>Translation!A135</f><v>Export from island</v></c><c r="AA57" s="295"/><c r="AB57" s="269"/><c r="AC57" s="327"/><c r="AD57" s="269"/></row><row r="58" spans="2:32" s="55" customFormat="1" ht="15.75"><c r="B58" s="199" t="str"><f>Translation!A123</f><v>Electricity</v></c><c r="C58" s="164"><v>46260.783451575073</v></c><c r="D58" s="164"><v>2607.4981504221619</v></c><c r="E58" s="164"/><c r="F58" s="164"/><c r="G58" s="164"><v>137421.10782394937</v></c><c r="H58" s="164"/><c r="I58" s="63"><f>SUM(C58:H58)</f><v>186289.3894259466</v></c><c r="J58" s="164"/><c r="K58" s="164"/><c r="L58" s="164"/><c r="M58" s="164"/><c r="N58" s="164"/><c r="O58" s="164"/><c r="P58" s="164"/><c r="Q58" s="164"/><c r="R58" s="63"><f>SUM(J58:Q58)</f><v>0</v></c><c r="S58" s="63"><f>I58+R58</f><v>186289.3894259466</v></c><c r="T58" s="164"/><c r="U58" s="164"/><c r="V58" s="63"><f>-T58</f><v>0</v></c><c r="W58" s="164"/><c r="X58" s="164"/><c r="Y58" s="164"/><c r="Z58" s="164"/><c r="AA58" s="201"><f>$C$49+$C$50+$C$51</f><v>0</v></c><c r="AB58" s="63"><f>-SUM(W58)+SUM(X58:Y58)-SUM(Z58:AA58)</f><v>0</v></c><c r="AC58" s="68"><f>S58+V58+AB58</f><v>186289.3894259466</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52" t="str"><f>Translation!A118</f><v>TOTAL</v></c><c r="C61" s="57"><f t="shared" ref="C61:AD61" si="19">SUM(C58:C60)</f><v>46260.783451575073</v></c><c r="D61" s="57"><f t="shared" si="19"/><v>2607.4981504221619</v></c><c r="E61" s="57"><f t="shared" si="19"/><v>0</v></c><c r="F61" s="57"><f t="shared" si="19"/><v>0</v></c><c r="G61" s="57"><f t="shared" si="19"/><v>137421.10782394937</v></c><c r="H61" s="57"><f t="shared" si="19"/><v>0</v></c><c r="I61" s="57"><f t="shared" si="19"/><v>186289.3894259466</v></c><c r="J61" s="57"><f t="shared" si="19"/><v>0</v></c><c r="K61" s="57"><f t="shared" si="19"/><v>0</v></c><c r="L61" s="57"><f t="shared" si="19"/><v>0</v></c><c r="M61" s="57"><f t="shared" si="19"/><v>0</v></c><c r="N61" s="57"><f t="shared" si="19"/><v>0</v></c><c r="O61" s="57"><f t="shared" si="19"/><v>0</v></c><c r="P61" s="57"><f t="shared" si="19"/><v>0</v></c><c r="Q61" s="57"><f t="shared" si="19"/><v>0</v></c><c r="R61" s="57"><f t="shared" si="19"/><v>0</v></c><c r="S61" s="57"><f t="shared" si="19"/><v>186289.3894259466</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186289.3894259466</v></c><c r="AD61" s="57"><f t="shared" si="19"/><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4" t="str"><f>Translation!A120</f><v>PRODUCTION SECTOR</v></c><c r="C64" s="322" t="str"><f>Translation!A142</f><v>PRIMARY ENERGY SOURCE</v></c><c r="D64" s="323"/><c r="E64" s="323"/><c r="F64" s="323"/><c r="G64" s="323"/><c r="H64" s="323"/><c r="I64" s="323"/><c r="J64" s="323"/><c r="K64" s="323"/><c r="L64" s="323"/><c r="M64" s="323"/><c r="N64" s="323"/><c r="O64" s="323"/><c r="P64" s="323"/><c r="Q64" s="323"/><c r="R64" s="323"/><c r="S64" s="324"/><c r="T64" s="318" t="str"><f>Translation!A127</f><v>Conversion losses from primary to secondary energy</v></c><c r="U64" s="61"/><c r="V64" s="61"/><c r="W64" s="72"/><c r="X64" s="61"/><c r="Y64" s="61"/><c r="Z64" s="61"/><c r="AA64" s="61"/><c r="AB64" s="61"/><c r="AC64" s="61"/><c r="AD64" s="61"/><c r="AE64" s="61"/></row><row r="65" spans="2:32" s="55" customFormat="1" ht="15" customHeight="1"><c r="B65" s="295"/><c r="C65" s="322" t="str"><f>Translation!A98</f><v>Fossil fuels</v></c><c r="D65" s="323"/><c r="E65" s="323"/><c r="F65" s="323"/><c r="G65" s="323"/><c r="H65" s="323"/><c r="I65" s="324"/><c r="J65" s="322" t="str"><f>Translation!A107</f><v>Renewable energy sources</v></c><c r="K65" s="323"/><c r="L65" s="323"/><c r="M65" s="323"/><c r="N65" s="323"/><c r="O65" s="323"/><c r="P65" s="323"/><c r="Q65" s="323"/><c r="R65" s="324"/><c r="S65" s="321" t="str"><f>Translation!A118</f><v>TOTAL</v></c><c r="T65" s="319"/><c r="U65" s="61"/><c r="V65" s="61"/><c r="W65" s="72"/><c r="X65" s="61"/><c r="Y65" s="61"/><c r="Z65" s="61"/><c r="AA65" s="61"/><c r="AB65" s="61"/><c r="AC65" s="61"/><c r="AD65" s="61"/><c r="AE65" s="61"/></row><row r="66" spans="2:32" s="55" customFormat="1" ht="69.75" customHeight="1"><c r="B66" s="73" t="str"><f>Translation!A122</f><v>Energy product</v></c><c r="C66" s="259" t="str"><f>Translation!A99</f><v>Fueloil</v></c><c r="D66" s="259" t="str"><f>Translation!A100</f><v>Diesel</v></c><c r="E66" s="259" t="str"><f>Translation!A101</f><v>Gasoline</v></c><c r="F66" s="259" t="str"><f>Translation!A102</f><v>LPG</v></c><c r="G66" s="259" t="str"><f>Translation!A103</f><v>Natural gas</v></c><c r="H66" s="259" t="str"><f>Translation!A104</f><v>Coal</v></c><c r="I66" s="259" t="str"><f>Translation!A116</f><v>Subtotal</v></c><c r="J66" s="259" t="str"><f>Translation!A108</f><v>Hydro</v></c><c r="K66" s="259" t="str"><f>Translation!A109</f><v>Wind</v></c><c r="L66" s="259" t="str"><f>Translation!A110</f><v>Solar</v></c><c r="M66" s="259" t="str"><f>Translation!A111</f><v>Geothermal</v></c><c r="N66" s="259" t="str"><f>Translation!A112</f><v>Ocean</v></c><c r="O66" s="259" t="str"><f>Translation!A113</f><v>Biomass</v></c><c r="P66" s="259" t="str"><f>Translation!A114</f><v>Urban waste</v></c><c r="Q66" s="259" t="str"><f>Translation!A115</f><v>Energy recovery</v></c><c r="R66" s="259" t="str"><f>Translation!A116</f><v>Subtotal</v></c><c r="S66" s="321"/><c r="T66" s="320"/><c r="U66" s="61"/><c r="V66" s="61"/><c r="W66" s="72"/><c r="X66" s="61"/><c r="Y66" s="61"/><c r="Z66" s="61"/><c r="AA66" s="61"/><c r="AB66" s="61"/><c r="AC66" s="61"/><c r="AD66" s="61"/><c r="AE66" s="61"/></row><row r="67" spans="2:32" s="55" customFormat="1" ht="15.75"><c r="B67" s="199" t="str"><f>Translation!A123</f><v>Electricity</v></c><c r="C67" s="164"><v>132173.66700450022</v></c><c r="D67" s="164"><v>8411.2843562005219</v></c><c r="E67" s="164"/><c r="F67" s="164"/><c r="G67" s="164"><v>312320.69959988492</v></c><c r="H67" s="164"/><c r="I67" s="63"><f>SUM(C67:H67)</f><v>452905.65096058568</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452905.65096058568</v></c><c r="T67" s="75"><f>S67-AC58+AB58</f><v>266616.26153463905</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52" t="str"><f>Translation!A118</f><v>TOTAL</v></c><c r="C70" s="57"><f t="shared" ref="C70:S70" si="22">SUM(C67:C69)</f><v>132173.66700450022</v></c><c r="D70" s="57"><f t="shared" si="22"/><v>8411.2843562005219</v></c><c r="E70" s="57"><f t="shared" si="22"/><v>0</v></c><c r="F70" s="57"><f t="shared" si="22"/><v>0</v></c><c r="G70" s="57"><f t="shared" si="22"/><v>312320.69959988492</v></c><c r="H70" s="57"><f t="shared" si="22"/><v>0</v></c><c r="I70" s="57"><f t="shared" si="22"/><v>452905.65096058568</v></c><c r="J70" s="57"><f t="shared" si="22"/><v>0</v></c><c r="K70" s="57"><f t="shared" si="22"/><v>0</v></c><c r="L70" s="57"><f t="shared" si="22"/><v>0</v></c><c r="M70" s="57"><f t="shared" si="22"/><v>0</v></c><c r="N70" s="57"><f t="shared" si="22"/><v>0</v></c><c r="O70" s="57"><f t="shared" si="22"/><v>0</v></c><c r="P70" s="57"><f t="shared" si="22"/><v>0</v></c><c r="Q70" s="57"><f t="shared" si="22"/><v>0</v></c><c r="R70" s="57"><f t="shared" si="22"/><v>0</v></c><c r="S70" s="57"><f t="shared" si="22"/><v>452905.65096058568</v></c><c r="T70" s="75"><f>S70-AC61+AB61</f><v>266616.26153463905</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37" t="str"><f>Translation!A122</f><v>Energy product</v></c><c r="C73" s="296" t="str"><f>Translation!A142</f><v>PRIMARY ENERGY SOURCE</v></c><c r="D73" s="297"/><c r="E73" s="297"/><c r="F73" s="297"/><c r="G73" s="297"/><c r="H73" s="297"/><c r="I73" s="297"/><c r="J73" s="297"/><c r="K73" s="297"/><c r="L73" s="297"/><c r="M73" s="297"/><c r="N73" s="297"/><c r="O73" s="297"/><c r="P73" s="297"/><c r="Q73" s="297"/><c r="R73" s="297"/><c r="S73" s="297"/><c r="T73" s="297"/><c r="U73" s="297"/><c r="V73" s="297"/><c r="W73" s="297"/><c r="X73" s="297"/><c r="Y73" s="298"/></row><row r="74" spans="2:32" s="55" customFormat="1" ht="15" customHeight="1"><c r="B74" s="338"/><c r="C74" s="296" t="str"><f>Translation!A98</f><v>Fossil fuels</v></c><c r="D74" s="297"/><c r="E74" s="297"/><c r="F74" s="297"/><c r="G74" s="297"/><c r="H74" s="297"/><c r="I74" s="298"/><c r="J74" s="296" t="str"><f>Translation!A107</f><v>Renewable energy sources</v></c><c r="K74" s="297"/><c r="L74" s="297"/><c r="M74" s="297"/><c r="N74" s="297"/><c r="O74" s="297"/><c r="P74" s="297"/><c r="Q74" s="297"/><c r="R74" s="298"/><c r="S74" s="315" t="str"><f>Translation!A123</f><v>Electricity</v></c><c r="T74" s="316"/><c r="U74" s="316"/><c r="V74" s="317"/><c r="W74" s="252" t="str"><f>Translation!A124</f><v>Heat</v></c><c r="X74" s="252" t="str"><f>Translation!A125</f><v>Cold</v></c><c r="Y74" s="294" t="str"><f>Translation!A118</f><v>TOTAL</v></c></row><row r="75" spans="2:32" s="55" customFormat="1" ht="46.5" customHeight="1"><c r="B75" s="339"/><c r="C75" s="253" t="str"><f>Translation!A99</f><v>Fueloil</v></c><c r="D75" s="253" t="str"><f>Translation!A100</f><v>Diesel</v></c><c r="E75" s="253" t="str"><f>Translation!A101</f><v>Gasoline</v></c><c r="F75" s="253" t="str"><f>Translation!A102</f><v>LPG</v></c><c r="G75" s="253" t="str"><f>Translation!A103</f><v>Natural gas</v></c><c r="H75" s="253" t="str"><f>Translation!A104</f><v>Coal</v></c><c r="I75" s="253" t="str"><f>Translation!A116</f><v>Subtotal</v></c><c r="J75" s="253" t="str"><f>Translation!A108</f><v>Hydro</v></c><c r="K75" s="253" t="str"><f>Translation!A109</f><v>Wind</v></c><c r="L75" s="253" t="str"><f>Translation!A110</f><v>Solar</v></c><c r="M75" s="253" t="str"><f>Translation!A111</f><v>Geothermal</v></c><c r="N75" s="253" t="str"><f>Translation!A112</f><v>Ocean</v></c><c r="O75" s="253" t="str"><f>Translation!A113</f><v>Biomass</v></c><c r="P75" s="253" t="str"><f>Translation!A114</f><v>Urban waste</v></c><c r="Q75" s="253" t="str"><f>Translation!A115</f><v>Energy recovery</v></c><c r="R75" s="253" t="str"><f>Translation!A116</f><v>Subtotal</v></c><c r="S75" s="58" t="str"><f>Translation!A144</f><v>Imported electricity (cable)</v></c><c r="T75" s="58" t="str"><f>Translation!A145</f><v>Exported electricity (cable)</v></c><c r="U75" s="58" t="str"><f>Translation!A136</f><v>Reexportation and external consumption</v></c><c r="V75" s="257" t="str"><f>Translation!A116</f><v>Subtotal</v></c><c r="W75" s="257" t="str"><f>Translation!A136</f><v>Reexportation and external consumption</v></c><c r="X75" s="257" t="str"><f>Translation!A136</f><v>Reexportation and external consumption</v></c><c r="Y75" s="295"/></row><row r="76" spans="2:32" s="55" customFormat="1" ht="15.75"><c r="B76" s="255" t="str"><f>Translation!A118</f><v>TOTAL</v></c><c r="C76" s="201"><f>G48+C70</f><v>175149.79800418078</v></c><c r="D76" s="201"><f t="shared" ref="D76:H76" si="23">H48+D70</f><v>136548.82123173156</v></c><c r="E76" s="201"><f t="shared" si="23"/><v>165703.74383171106</v></c><c r="F76" s="201"><f t="shared" si="23"/><v>14660.808621119522</v></c><c r="G76" s="201"><f t="shared" si="23"/><v>312320.69959988492</v></c><c r="H76" s="201"><f t="shared" si="23"/><v>0</v></c><c r="I76" s="57"><f>SUM(C76:H76)</f><v>804383.87128862785</v></c><c r="J76" s="201"><f t="shared" ref="J76:O76" si="24">N48+J70</f><v>0</v></c><c r="K76" s="201"><f t="shared" si="24"/><v>314.90079787230366</v></c><c r="L76" s="201"><f t="shared" si="24"/><v>11745.545027653407</v></c><c r="M76" s="201"><f t="shared" si="24"/><v>175.54785218100307</v></c><c r="N76" s="201"><f t="shared" si="24"/><v>0</v></c><c r="O76" s="201"><f t="shared" si="24"/><v>12256.164041774085</v></c><c r="P76" s="201"><f>P70</f><v>0</v></c><c r="Q76" s="201"><f>Q70</f><v>0</v></c><c r="R76" s="57"><f>SUM(J76:Q76)</f><v>24492.157719480798</v></c><c r="S76" s="201"><f>Y61</f><v>0</v></c><c r="T76" s="201"><f>Z61</f><v>0</v></c><c r="U76" s="201"><f>$C$49+$C$50+$C$51</f><v>0</v></c><c r="V76" s="57"><f>S76-T76-U76</f><v>0</v></c><c r="W76" s="201"><f>$D$49+$D$50+$D$51</f><v>0</v></c><c r="X76" s="201"><f>$E$49+$E$50+$E$51</f><v>0</v></c><c r="Y76" s="57"><f>I76+R76+V76-W76-X76</f><v>828876.02900810866</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4" t="str"><f>Translation!A120</f><v>PRODUCTION SECTOR</v></c><c r="C79" s="322" t="str"><f>Translation!A142</f><v>PRIMARY ENERGY SOURCE</v></c><c r="D79" s="323"/><c r="E79" s="323"/><c r="F79" s="323"/><c r="G79" s="323"/><c r="H79" s="323"/><c r="I79" s="323"/><c r="J79" s="323"/><c r="K79" s="323"/><c r="L79" s="323"/><c r="M79" s="323"/><c r="N79" s="323"/><c r="O79" s="323"/><c r="P79" s="323"/><c r="Q79" s="323"/><c r="R79" s="323"/><c r="S79" s="324"/><c r="T79" s="72"/><c r="V79" s="61"/><c r="W79" s="61"/><c r="X79" s="72"/><c r="Y79" s="61"/><c r="Z79" s="61"/><c r="AA79" s="61"/><c r="AB79" s="61"/><c r="AC79" s="61"/><c r="AD79" s="61"/><c r="AE79" s="61"/><c r="AF79" s="61"/></row><row r="80" spans="2:32" s="55" customFormat="1" ht="15" customHeight="1"><c r="B80" s="295"/><c r="C80" s="322" t="str"><f>Translation!A98</f><v>Fossil fuels</v></c><c r="D80" s="323"/><c r="E80" s="323"/><c r="F80" s="323"/><c r="G80" s="323"/><c r="H80" s="323"/><c r="I80" s="324"/><c r="J80" s="322" t="str"><f>Translation!A107</f><v>Renewable energy sources</v></c><c r="K80" s="323"/><c r="L80" s="323"/><c r="M80" s="323"/><c r="N80" s="323"/><c r="O80" s="323"/><c r="P80" s="323"/><c r="Q80" s="323"/><c r="R80" s="324"/><c r="S80" s="321" t="str"><f>Translation!A118</f><v>TOTAL</v></c><c r="T80" s="72"/><c r="V80" s="61"/><c r="W80" s="61"/><c r="X80" s="72"/><c r="Y80" s="61"/><c r="Z80" s="61"/><c r="AA80" s="61"/><c r="AB80" s="61"/><c r="AC80" s="61"/><c r="AD80" s="61"/><c r="AE80" s="61"/><c r="AF80" s="61"/></row><row r="81" spans="1:32" s="55" customFormat="1" ht="69.75" customHeight="1"><c r="B81" s="73" t="str"><f>Translation!A122</f><v>Energy product</v></c><c r="C81" s="259" t="str"><f>Translation!A99</f><v>Fueloil</v></c><c r="D81" s="259" t="str"><f>Translation!A100</f><v>Diesel</v></c><c r="E81" s="259" t="str"><f>Translation!A101</f><v>Gasoline</v></c><c r="F81" s="259" t="str"><f>Translation!A102</f><v>LPG</v></c><c r="G81" s="259" t="str"><f>Translation!A103</f><v>Natural gas</v></c><c r="H81" s="259" t="str"><f>Translation!A104</f><v>Coal</v></c><c r="I81" s="259" t="str"><f>Translation!A116</f><v>Subtotal</v></c><c r="J81" s="259" t="str"><f>Translation!A108</f><v>Hydro</v></c><c r="K81" s="259" t="str"><f>Translation!A109</f><v>Wind</v></c><c r="L81" s="259" t="str"><f>Translation!A110</f><v>Solar</v></c><c r="M81" s="259" t="str"><f>Translation!A111</f><v>Geothermal</v></c><c r="N81" s="259" t="str"><f>Translation!A112</f><v>Ocean</v></c><c r="O81" s="259" t="str"><f>Translation!A113</f><v>Biomass</v></c><c r="P81" s="259" t="str"><f>Translation!A114</f><v>Urban waste</v></c><c r="Q81" s="259" t="str"><f>Translation!A115</f><v>Energy recovery</v></c><c r="R81" s="259" t="str"><f>Translation!A116</f><v>Subtotal</v></c><c r="S81" s="321"/><c r="T81" s="72"/><c r="V81" s="61"/><c r="W81" s="61"/><c r="X81" s="72"/><c r="Y81" s="61"/><c r="Z81" s="61"/><c r="AA81" s="61"/><c r="AB81" s="61"/><c r="AC81" s="61"/><c r="AD81" s="61"/><c r="AE81" s="61"/><c r="AF81" s="61"/></row><row r="82" spans="1:32" s="55" customFormat="1" ht="15.75"><c r="B82" s="199" t="str"><f>Translation!A123</f><v>Electricity</v></c><c r="C82" s="203"><f t="shared" ref="C82:P84" si="25">IF(C67&gt;0,C58/C67,"-")</f><v>0.35</v></c><c r="D82" s="203"><f t="shared" si="25"/><v>0.31</v></c><c r="E82" s="203" t="str"><f t="shared" si="25"/><v>-</v></c><c r="F82" s="203" t="str"><f t="shared" si="25"/><v>-</v></c><c r="G82" s="203"><f t="shared" si="25"/><v>0.44</v></c><c r="H82" s="203" t="str"><f t="shared" si="25"/><v>-</v></c><c r="I82" s="71"><f t="shared" si="25"/><v>0.41132052344862113</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0.41132052344862113</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25" t="str"><f>Translation!A56</f><v>DEMAND SECTOR</v></c><c r="C88" s="299" t="str"><f>Translation!A93</f><v>ENERGY FOR FINAL USE</v></c><c r="D88" s="300"/><c r="E88" s="300"/><c r="F88" s="300"/><c r="G88" s="300"/><c r="H88" s="300"/><c r="I88" s="300"/><c r="J88" s="300"/><c r="K88" s="300"/><c r="L88" s="300"/><c r="M88" s="300"/><c r="N88" s="300"/><c r="O88" s="300"/><c r="P88" s="300"/><c r="Q88" s="300"/><c r="R88" s="300"/><c r="S88" s="300"/><c r="T88" s="300"/><c r="U88" s="301"/></row><row r="89" spans="1:32" s="55" customFormat="1" ht="18" customHeight="1"><c r="B89" s="326"/><c r="C89" s="299" t="str"><f>Translation!A94</f><v>Centralized energy services</v></c><c r="D89" s="300"/><c r="E89" s="300"/><c r="F89" s="301"/><c r="G89" s="299" t="str"><f>Translation!A98</f><v>Fossil fuels</v></c><c r="H89" s="300"/><c r="I89" s="300"/><c r="J89" s="300"/><c r="K89" s="300"/><c r="L89" s="300"/><c r="M89" s="301"/><c r="N89" s="299" t="str"><f>Translation!A105</f><v>Renewable energy sources (excluding electricity and heat sold to public networks)</v></c><c r="O89" s="300"/><c r="P89" s="300"/><c r="Q89" s="300"/><c r="R89" s="300"/><c r="S89" s="300"/><c r="T89" s="301"/><c r="U89" s="308" t="str"><f>Translation!A118</f><v>TOTAL</v></c></row><row r="90" spans="1:32" s="55" customFormat="1" ht="67.5" customHeight="1"><c r="B90" s="65" t="str"><f>Translation!A58</f><v>Sector description</v></c><c r="C90" s="260" t="str"><f>Translation!A95</f><v>Electricity from public grid</v></c><c r="D90" s="260" t="str"><f>Translation!A96</f><v>Heat from district heating</v></c><c r="E90" s="260" t="str"><f>Translation!A97</f><v>Cold from district cooling</v></c><c r="F90" s="260" t="str"><f>Translation!A116</f><v>Subtotal</v></c><c r="G90" s="260" t="str"><f>Translation!A99</f><v>Fueloil</v></c><c r="H90" s="260" t="str"><f>Translation!A100</f><v>Diesel</v></c><c r="I90" s="260" t="str"><f>Translation!A101</f><v>Gasoline</v></c><c r="J90" s="260" t="str"><f>Translation!A102</f><v>LPG</v></c><c r="K90" s="260" t="str"><f>Translation!A103</f><v>Natural gas</v></c><c r="L90" s="260" t="str"><f>Translation!A104</f><v>Coal</v></c><c r="M90" s="260" t="str"><f>Translation!A116</f><v>Subtotal</v></c><c r="N90" s="260" t="str"><f>Translation!A108</f><v>Hydro</v></c><c r="O90" s="260" t="str"><f>Translation!A109</f><v>Wind</v></c><c r="P90" s="260" t="str"><f>Translation!A110</f><v>Solar</v></c><c r="Q90" s="260" t="str"><f>Translation!A111</f><v>Geothermal</v></c><c r="R90" s="260" t="str"><f>Translation!A112</f><v>Ocean</v></c><c r="S90" s="260" t="str"><f>Translation!A113</f><v>Biomass</v></c><c r="T90" s="260" t="str"><f>Translation!A116</f><v>Subtotal</v></c><c r="U90" s="310"/></row><row r="91" spans="1:32" s="21" customFormat="1" ht="15.75"><c r="A91" s="22"/><c r="B91" s="70" t="str"><f>Translation!A59</f><v>RESIDENTIAL</v></c><c r="C91" s="68"><f>SUM(C92:C100)</f><v>27806.764055765139</v></c><c r="D91" s="68"><f>SUM(D92:D100)</f><v>0</v></c><c r="E91" s="68"><f>SUM(E92:E100)</f><v>0</v></c><c r="F91" s="68"><f t="shared" ref="F91:F122" si="27">SUM(C91:E91)</f><v>27806.764055765139</v></c><c r="G91" s="68"><f t="shared" ref="G91:L91" si="28">SUM(G92:G100)</f><v>6443.866518596933</v></c><c r="H91" s="68"><f t="shared" si="28"/><v>0</v></c><c r="I91" s="68"><f t="shared" si="28"/><v>0</v></c><c r="J91" s="68"><f t="shared" si="28"/><v>793.75922612538545</v></c><c r="K91" s="68"><f t="shared" si="28"/><v>0</v></c><c r="L91" s="68"><f t="shared" si="28"/><v>0</v></c><c r="M91" s="68"><f t="shared" ref="M91:M122" si="29">SUM(G91:L91)</f><v>7237.6257447223188</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35044.389800487457</v></c></row><row r="92" spans="1:32" s="21" customFormat="1" ht="15.75"><c r="A92" s="22"/><c r="B92" s="197" t="str"><f>Translation!A60</f><v>Hot water</v></c><c r="C92" s="200"><f t="shared" ref="C92:C100" si="33">IF(C$48&gt;0, ($S$128+$V$137)/C$48,0)*C18</f><v>834.20292167295372</v></c><c r="D92" s="200"><f t="shared" ref="D92:D100" si="34">IF(D$48&gt;0, ($S$129)/D$48,0)*D18</f><v>0</v></c><c r="E92" s="200"><f t="shared" ref="E92:E100" si="35">IF(E$48&gt;0, ($S$130)/E$48,0)*E18</f><v>0</v></c><c r="F92" s="68"><f t="shared" si="27"/><v>834.20292167295372</v></c><c r="G92" s="200"><f>'CO2 factors'!C$7*G18</f><v>371.17117668834658</v></c><c r="H92" s="200"><f>'CO2 factors'!D$7*H18</f><v>0</v></c><c r="I92" s="200"><f>'CO2 factors'!E$7*I18</f><v>0</v></c><c r="J92" s="200"><f>'CO2 factors'!F$7*J18</f><v>22.806216693600387</v></c><c r="K92" s="200"><f>'CO2 factors'!G$7*K18</f><v>0</v></c><c r="L92" s="200"><f>'CO2 factors'!H$7*L18</f><v>0</v></c><c r="M92" s="68"><f t="shared" si="29"/><v>393.97739338194697</v></c><c r="N92" s="200"><f>'CO2 factors'!J$7*N18</f><v>0</v></c><c r="O92" s="200"><f>'CO2 factors'!K$7*O18</f><v>0</v></c><c r="P92" s="200"><f>'CO2 factors'!L$7*P18</f><v>0</v></c><c r="Q92" s="200"><f>'CO2 factors'!M$7*Q18</f><v>0</v></c><c r="R92" s="200"><f>'CO2 factors'!N$7*R18</f><v>0</v></c><c r="S92" s="200"><f>'CO2 factors'!O$7*S18</f><v>0</v></c><c r="T92" s="68"><f t="shared" si="31"/><v>0</v></c><c r="U92" s="68"><f t="shared" si="32"/><v>1228.1803150549008</v></c></row><row r="93" spans="1:32" s="21" customFormat="1" ht="15.75"><c r="A93" s="22"/><c r="B93" s="197" t="str"><f>Translation!A61</f><v>Heating and cooling</v></c><c r="C93" s="200"><f t="shared" si="33"/><v>20020.870120150903</v></c><c r="D93" s="200"><f t="shared" si="34"/><v>0</v></c><c r="E93" s="200"><f t="shared" si="35"/><v>0</v></c><c r="F93" s="68"><f t="shared" si="27"/><v>20020.870120150903</v></c><c r="G93" s="200"><f>'CO2 factors'!C$7*G19</f><v>6072.6953419085867</v></c><c r="H93" s="200"><f>'CO2 factors'!D$7*H19</f><v>0</v></c><c r="I93" s="200"><f>'CO2 factors'!E$7*I19</f><v>0</v></c><c r="J93" s="200"><f>'CO2 factors'!F$7*J19</f><v>614.56752353281092</v></c><c r="K93" s="200"><f>'CO2 factors'!G$7*K19</f><v>0</v></c><c r="L93" s="200"><f>'CO2 factors'!H$7*L19</f><v>0</v></c><c r="M93" s="68"><f t="shared" si="29"/><v>6687.2628654413975</v></c><c r="N93" s="200"><f>'CO2 factors'!J$7*N19</f><v>0</v></c><c r="O93" s="200"><f>'CO2 factors'!K$7*O19</f><v>0</v></c><c r="P93" s="200"><f>'CO2 factors'!L$7*P19</f><v>0</v></c><c r="Q93" s="200"><f>'CO2 factors'!M$7*Q19</f><v>0</v></c><c r="R93" s="200"><f>'CO2 factors'!N$7*R19</f><v>0</v></c><c r="S93" s="200"><f>'CO2 factors'!O$7*S19</f><v>0</v></c><c r="T93" s="68"><f t="shared" si="31"/><v>0</v></c><c r="U93" s="68"><f t="shared" si="32"/><v>26708.1329855923</v></c></row><row r="94" spans="1:32" s="21" customFormat="1" ht="15.75"><c r="A94" s="22"/><c r="B94" s="197" t="str"><f>Translation!A62</f><v>Lighting</v></c><c r="C94" s="200"><f t="shared" si="33"/><v>1112.270562230605</v></c><c r="D94" s="200"><f t="shared" si="34"/><v>0</v></c><c r="E94" s="200"><f t="shared" si="35"/><v>0</v></c><c r="F94" s="68"><f t="shared" si="27"/><v>1112.270562230605</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1112.270562230605</v></c></row><row r="95" spans="1:32" s="21" customFormat="1" ht="15.75"><c r="A95" s="22"/><c r="B95" s="197" t="str"><f>Translation!A63</f><v>Cooking</v></c><c r="C95" s="200"><f t="shared" si="33"/><v>834.20292167295372</v></c><c r="D95" s="200"><f t="shared" si="34"/><v>0</v></c><c r="E95" s="200"><f t="shared" si="35"/><v>0</v></c><c r="F95" s="68"><f t="shared" si="27"/><v>834.20292167295372</v></c><c r="G95" s="200"><f>'CO2 factors'!C$7*G21</f><v>0</v></c><c r="H95" s="200"><f>'CO2 factors'!D$7*H21</f><v>0</v></c><c r="I95" s="200"><f>'CO2 factors'!E$7*I21</f><v>0</v></c><c r="J95" s="200"><f>'CO2 factors'!F$7*J21</f><v>156.38548589897411</v></c><c r="K95" s="200"><f>'CO2 factors'!G$7*K21</f><v>0</v></c><c r="L95" s="200"><f>'CO2 factors'!H$7*L21</f><v>0</v></c><c r="M95" s="68"><f t="shared" si="29"/><v>156.38548589897411</v></c><c r="N95" s="200"><f>'CO2 factors'!J$7*N21</f><v>0</v></c><c r="O95" s="200"><f>'CO2 factors'!K$7*O21</f><v>0</v></c><c r="P95" s="200"><f>'CO2 factors'!L$7*P21</f><v>0</v></c><c r="Q95" s="200"><f>'CO2 factors'!M$7*Q21</f><v>0</v></c><c r="R95" s="200"><f>'CO2 factors'!N$7*R21</f><v>0</v></c><c r="S95" s="200"><f>'CO2 factors'!O$7*S21</f><v>0</v></c><c r="T95" s="68"><f t="shared" si="31"/><v>0</v></c><c r="U95" s="68"><f t="shared" si="32"/><v>990.58840757192786</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5005.2175300377257</v></c><c r="D100" s="200"><f t="shared" si="34"/><v>0</v></c><c r="E100" s="200"><f t="shared" si="35"/><v>0</v></c><c r="F100" s="68"><f t="shared" si="27"/><v>5005.2175300377257</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5005.2175300377257</v></c></row><row r="101" spans="1:21" s="21" customFormat="1" ht="15.75"><c r="A101" s="22"/><c r="B101" s="70" t="str"><f>Translation!A69</f><v>PRIMARY SECTOR</v></c><c r="C101" s="68"><f>SUM(C102:C103)</f><v>1444.8395159282877</v></c><c r="D101" s="68"><f>SUM(D102:D103)</f><v>0</v></c><c r="E101" s="68"><f>SUM(E102:E103)</f><v>0</v></c><c r="F101" s="68"><f t="shared" si="27"/><v>1444.8395159282877</v></c><c r="G101" s="68"><f t="shared" ref="G101:L101" si="36">SUM(G102:G103)</f><v>110.29351160738065</v></c><c r="H101" s="68"><f t="shared" si="36"/><v>0</v></c><c r="I101" s="68"><f t="shared" si="36"/><v>0</v></c><c r="J101" s="68"><f t="shared" si="36"/><v>54.184262242250348</v></c><c r="K101" s="68"><f t="shared" si="36"/><v>0</v></c><c r="L101" s="68"><f t="shared" si="36"/><v>0</v></c><c r="M101" s="68"><f t="shared" si="29"/><v>164.47777384963101</v></c><c r="N101" s="68"><f t="shared" ref="N101:S101" si="37">SUM(N102:N103)</f><v>0</v></c><c r="O101" s="68"><f t="shared" si="37"/><v>0</v></c><c r="P101" s="68"><f t="shared" si="37"/><v>0</v></c><c r="Q101" s="68"><f t="shared" si="37"/><v>0</v></c><c r="R101" s="68"><f t="shared" si="37"/><v>0</v></c><c r="S101" s="68"><f t="shared" si="37"/><v>0</v></c><c r="T101" s="68"><f t="shared" si="31"/><v>0</v></c><c r="U101" s="68"><f t="shared" si="32"/><v>1609.3172897779186</v></c></row><row r="102" spans="1:21" s="21" customFormat="1" ht="15.75"><c r="A102" s="22"/><c r="B102" s="198" t="str"><f>Translation!A70</f><v>Agriculture, forestry and fishing</v></c><c r="C102" s="200"><f>IF(C$48&gt;0, ($S$128+$V$137)/C$48,0)*C28</f><v>1444.8395159282877</v></c><c r="D102" s="200"><f>IF(D$48&gt;0, ($S$129)/D$48,0)*D28</f><v>0</v></c><c r="E102" s="200"><f>IF(E$48&gt;0, ($S$130)/E$48,0)*E28</f><v>0</v></c><c r="F102" s="68"><f t="shared" si="27"/><v>1444.8395159282877</v></c><c r="G102" s="200"><f>'CO2 factors'!C$7*G28</f><v>110.29351160738065</v></c><c r="H102" s="200"><f>'CO2 factors'!D$7*H28</f><v>0</v></c><c r="I102" s="200"><f>'CO2 factors'!E$7*I28</f><v>0</v></c><c r="J102" s="200"><f>'CO2 factors'!F$7*J28</f><v>54.184262242250348</v></c><c r="K102" s="200"><f>'CO2 factors'!G$7*K28</f><v>0</v></c><c r="L102" s="200"><f>'CO2 factors'!H$7*L28</f><v>0</v></c><c r="M102" s="68"><f t="shared" si="29"/><v>164.47777384963101</v></c><c r="N102" s="200"><f>'CO2 factors'!J$7*N28</f><v>0</v></c><c r="O102" s="200"><f>'CO2 factors'!K$7*O28</f><v>0</v></c><c r="P102" s="200"><f>'CO2 factors'!L$7*P28</f><v>0</v></c><c r="Q102" s="200"><f>'CO2 factors'!M$7*Q28</f><v>0</v></c><c r="R102" s="200"><f>'CO2 factors'!N$7*R28</f><v>0</v></c><c r="S102" s="200"><f>'CO2 factors'!O$7*S28</f><v>0</v></c><c r="T102" s="68"><f t="shared" si="31"/><v>0</v></c><c r="U102" s="68"><f t="shared" si="32"/><v>1609.3172897779186</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4397.0943044990609</v></c><c r="D104" s="68"><f>SUM(D105:D107)</f><v>0</v></c><c r="E104" s="68"><f>SUM(E105:E107)</f><v>0</v></c><c r="F104" s="68"><f t="shared" si="27"/><v>4397.0943044990609</v></c><c r="G104" s="68"><f t="shared" ref="G104:L104" si="38">SUM(G105:G107)</f><v>335.65732828149282</v></c><c r="H104" s="68"><f t="shared" si="38"/><v>0</v></c><c r="I104" s="68"><f t="shared" si="38"/><v>0</v></c><c r="J104" s="68"><f t="shared" si="38"/><v>164.8994980219712</v></c><c r="K104" s="68"><f t="shared" si="38"/><v>0</v></c><c r="L104" s="68"><f t="shared" si="38"/><v>0</v></c><c r="M104" s="68"><f t="shared" si="29"/><v>500.55682630346405</v></c><c r="N104" s="68"><f t="shared" ref="N104:S104" si="39">SUM(N105:N107)</f><v>0</v></c><c r="O104" s="68"><f t="shared" si="39"/><v>0</v></c><c r="P104" s="68"><f t="shared" si="39"/><v>0</v></c><c r="Q104" s="68"><f t="shared" si="39"/><v>0</v></c><c r="R104" s="68"><f t="shared" si="39"/><v>0</v></c><c r="S104" s="68"><f t="shared" si="39"/><v>0</v></c><c r="T104" s="68"><f t="shared" si="31"/><v>0</v></c><c r="U104" s="68"><f t="shared" si="32"/><v>4897.6511308025247</v></c></row><row r="105" spans="1:21" s="21" customFormat="1" ht="15.75"><c r="A105" s="22"/><c r="B105" s="198" t="str"><f>Translation!A73</f><v>Manufacturing</v></c><c r="C105" s="200"><f>IF(C$48&gt;0, ($S$128+$V$137)/C$48,0)*C31</f><v>1961.0078930685884</v></c><c r="D105" s="200"><f>IF(D$48&gt;0, ($S$129)/D$48,0)*D31</f><v>0</v></c><c r="E105" s="200"><f>IF(E$48&gt;0, ($S$130)/E$48,0)*E31</f><v>0</v></c><c r="F105" s="68"><f t="shared" si="27"/><v>1961.0078930685884</v></c><c r="G105" s="200"><f>'CO2 factors'!C$7*G31</f><v>149.69582741330586</v></c><c r="H105" s="200"><f>'CO2 factors'!D$7*H31</f><v>0</v></c><c r="I105" s="200"><f>'CO2 factors'!E$7*I31</f><v>0</v></c><c r="J105" s="200"><f>'CO2 factors'!F$7*J31</f><v>73.541569680064754</v></c><c r="K105" s="200"><f>'CO2 factors'!G$7*K31</f><v>0</v></c><c r="L105" s="200"><f>'CO2 factors'!H$7*L31</f><v>0</v></c><c r="M105" s="68"><f t="shared" si="29"/><v>223.23739709337062</v></c><c r="N105" s="200"><f>'CO2 factors'!J$7*N31</f><v>0</v></c><c r="O105" s="200"><f>'CO2 factors'!K$7*O31</f><v>0</v></c><c r="P105" s="200"><f>'CO2 factors'!L$7*P31</f><v>0</v></c><c r="Q105" s="200"><f>'CO2 factors'!M$7*Q31</f><v>0</v></c><c r="R105" s="200"><f>'CO2 factors'!N$7*R31</f><v>0</v></c><c r="S105" s="200"><f>'CO2 factors'!O$7*S31</f><v>0</v></c><c r="T105" s="68"><f t="shared" si="31"/><v>0</v></c><c r="U105" s="68"><f t="shared" si="32"/><v>2184.245290161959</v></c></row><row r="106" spans="1:21" s="21" customFormat="1" ht="30"><c r="A106" s="22"/><c r="B106" s="198" t="str"><f>Translation!A74</f><v>Water supply, sewerage, waste management and remediation activities</v></c><c r="C106" s="200"><f>IF(C$48&gt;0, ($S$128+$V$137)/C$48,0)*C32</f><v>2076.70879893341</v></c><c r="D106" s="200"><f>IF(D$48&gt;0, ($S$129)/D$48,0)*D32</f><v>0</v></c><c r="E106" s="200"><f>IF(E$48&gt;0, ($S$130)/E$48,0)*E32</f><v>0</v></c><c r="F106" s="68"><f t="shared" si="27"/><v>2076.70879893341</v></c><c r="G106" s="200"><f>'CO2 factors'!C$7*G32</f><v>158.52799116803774</v></c><c r="H106" s="200"><f>'CO2 factors'!D$7*H32</f><v>0</v></c><c r="I106" s="200"><f>'CO2 factors'!E$7*I32</f><v>0</v></c><c r="J106" s="200"><f>'CO2 factors'!F$7*J32</f><v>77.880576300476548</v></c><c r="K106" s="200"><f>'CO2 factors'!G$7*K32</f><v>0</v></c><c r="L106" s="200"><f>'CO2 factors'!H$7*L32</f><v>0</v></c><c r="M106" s="68"><f t="shared" si="29"/><v>236.40856746851429</v></c><c r="N106" s="200"><f>'CO2 factors'!J$7*N32</f><v>0</v></c><c r="O106" s="200"><f>'CO2 factors'!K$7*O32</f><v>0</v></c><c r="P106" s="200"><f>'CO2 factors'!L$7*P32</f><v>0</v></c><c r="Q106" s="200"><f>'CO2 factors'!M$7*Q32</f><v>0</v></c><c r="R106" s="200"><f>'CO2 factors'!N$7*R32</f><v>0</v></c><c r="S106" s="200"><f>'CO2 factors'!O$7*S32</f><v>0</v></c><c r="T106" s="68"><f t="shared" si="31"/><v>0</v></c><c r="U106" s="68"><f t="shared" si="32"/><v>2313.1173664019243</v></c></row><row r="107" spans="1:21" s="21" customFormat="1" ht="15.75"><c r="A107" s="22"/><c r="B107" s="198" t="str"><f>Translation!A75</f><v>Construction</v></c><c r="C107" s="200"><f>IF(C$48&gt;0, ($S$128+$V$137)/C$48,0)*C33</f><v>359.37761249706301</v></c><c r="D107" s="200"><f>IF(D$48&gt;0, ($S$129)/D$48,0)*D33</f><v>0</v></c><c r="E107" s="200"><f>IF(E$48&gt;0, ($S$130)/E$48,0)*E33</f><v>0</v></c><c r="F107" s="68"><f t="shared" si="27"/><v>359.37761249706301</v></c><c r="G107" s="80"><f>'CO2 factors'!C$7*G33</f><v>27.433509700149202</v></c><c r="H107" s="80"><f>'CO2 factors'!D$7*H33</f><v>0</v></c><c r="I107" s="80"><f>'CO2 factors'!E$7*I33</f><v>0</v></c><c r="J107" s="80"><f>'CO2 factors'!F$7*J33</f><v>13.477352041429892</v></c><c r="K107" s="80"><f>'CO2 factors'!G$7*K33</f><v>0</v></c><c r="L107" s="80"><f>'CO2 factors'!H$7*L33</f><v>0</v></c><c r="M107" s="68"><f t="shared" si="29"/><v>40.910861741579097</v></c><c r="N107" s="80"><f>'CO2 factors'!J$7*N33</f><v>0</v></c><c r="O107" s="80"><f>'CO2 factors'!K$7*O33</f><v>0</v></c><c r="P107" s="80"><f>'CO2 factors'!L$7*P33</f><v>0</v></c><c r="Q107" s="80"><f>'CO2 factors'!M$7*Q33</f><v>0</v></c><c r="R107" s="80"><f>'CO2 factors'!N$7*R33</f><v>0</v></c><c r="S107" s="80"><f>'CO2 factors'!O$7*S33</f><v>0</v></c><c r="T107" s="68"><f t="shared" si="31"/><v>0</v></c><c r="U107" s="68"><f t="shared" si="32"/><v>400.2884742386421</v></c></row><row r="108" spans="1:21" s="21" customFormat="1" ht="15.75"><c r="A108" s="22"/><c r="B108" s="65" t="str"><f>Translation!A76</f><v>TERTIARY SECTOR</v></c><c r="C108" s="68"><f>SUM(C109:C116)</f><v>68542.565665198286</v></c><c r="D108" s="68"><f>SUM(D109:D116)</f><v>0</v></c><c r="E108" s="68"><f>SUM(E109:E116)</f><v>0</v></c><c r="F108" s="68"><f t="shared" si="27"/><v>68542.565665198286</v></c><c r="G108" s="68"><f t="shared" ref="G108:L108" si="40">SUM(G109:G116)</f><v>5100.5231904250722</v></c><c r="H108" s="68"><f t="shared" si="40"/><v>0</v></c><c r="I108" s="68"><f t="shared" si="40"/><v>0</v></c><c r="J108" s="68"><f t="shared" si="40"/><v>2505.7510826790781</v></c><c r="K108" s="68"><f t="shared" si="40"/><v>0</v></c><c r="L108" s="68"><f t="shared" si="40"/><v>0</v></c><c r="M108" s="68"><f t="shared" si="29"/><v>7606.2742731041508</v></c><c r="N108" s="68"><f t="shared" ref="N108:S108" si="41">SUM(N109:N116)</f><v>0</v></c><c r="O108" s="68"><f t="shared" si="41"/><v>0</v></c><c r="P108" s="68"><f t="shared" si="41"/><v>0</v></c><c r="Q108" s="68"><f t="shared" si="41"/><v>0</v></c><c r="R108" s="68"><f t="shared" si="41"/><v>0</v></c><c r="S108" s="68"><f t="shared" si="41"/><v>0</v></c><c r="T108" s="68"><f t="shared" si="31"/><v>0</v></c><c r="U108" s="68"><f t="shared" si="32"/><v>76148.839938302437</v></c></row><row r="109" spans="1:21" s="21" customFormat="1" ht="30"><c r="A109" s="22"/><c r="B109" s="198" t="str"><f>Translation!A77</f><v xml:space="preserve">Wholesale and retail trade; repair of motor vehicles and motorcycles </v></c><c r="C109" s="200"><f t="shared" ref="C109:C116" si="42">IF(C$48&gt;0, ($S$128+$V$137)/C$48,0)*C35</f><v>12089.481952917917</v></c><c r="D109" s="200"><f t="shared" ref="D109:D116" si="43">IF(D$48&gt;0, ($S$129)/D$48,0)*D35</f><v>0</v></c><c r="E109" s="200"><f t="shared" ref="E109:E116" si="44">IF(E$48&gt;0, ($S$130)/E$48,0)*E35</f><v>0</v></c><c r="F109" s="68"><f t="shared" si="27"/><v>12089.481952917917</v></c><c r="G109" s="200"><f>'CO2 factors'!C$7*G35</f><v>922.86472193050884</v></c><c r="H109" s="200"><f>'CO2 factors'!D$7*H35</f><v>0</v></c><c r="I109" s="200"><f>'CO2 factors'!E$7*I35</f><v>0</v></c><c r="J109" s="200"><f>'CO2 factors'!F$7*J35</f><v>453.37883777977316</v></c><c r="K109" s="200"><f>'CO2 factors'!G$7*K35</f><v>0</v></c><c r="L109" s="200"><f>'CO2 factors'!H$7*L35</f><v>0</v></c><c r="M109" s="68"><f t="shared" si="29"/><v>1376.2435597102819</v></c><c r="N109" s="200"><f>'CO2 factors'!J$7*N35</f><v>0</v></c><c r="O109" s="200"><f>'CO2 factors'!K$7*O35</f><v>0</v></c><c r="P109" s="200"><f>'CO2 factors'!L$7*P35</f><v>0</v></c><c r="Q109" s="200"><f>'CO2 factors'!M$7*Q35</f><v>0</v></c><c r="R109" s="200"><f>'CO2 factors'!N$7*R35</f><v>0</v></c><c r="S109" s="200"><f>'CO2 factors'!O$7*S35</f><v>0</v></c><c r="T109" s="68"><f t="shared" si="31"/><v>0</v></c><c r="U109" s="68"><f t="shared" si="32"/><v>13465.725512628198</v></c></row><row r="110" spans="1:21" s="21" customFormat="1" ht="15.75"><c r="A110" s="22"/><c r="B110" s="198" t="str"><f>Translation!A78</f><v>Accomodation and food service activities</v></c><c r="C110" s="200"><f t="shared" si="42"/><v>43071.912332823274</v></c><c r="D110" s="200"><f t="shared" si="43"/><v>0</v></c><c r="E110" s="200"><f t="shared" si="44"/><v>0</v></c><c r="F110" s="68"><f t="shared" si="27"/><v>43071.912332823274</v></c><c r="G110" s="200"><f>'CO2 factors'!C$7*G36</f><v>3287.9447235910943</v></c><c r="H110" s="200"><f>'CO2 factors'!D$7*H36</f><v>0</v></c><c r="I110" s="200"><f>'CO2 factors'!E$7*I36</f><v>0</v></c><c r="J110" s="200"><f>'CO2 factors'!F$7*J36</f><v>1615.2795984524751</v></c><c r="K110" s="200"><f>'CO2 factors'!G$7*K36</f><v>0</v></c><c r="L110" s="200"><f>'CO2 factors'!H$7*L36</f><v>0</v></c><c r="M110" s="68"><f t="shared" si="29"/><v>4903.2243220435694</v></c><c r="N110" s="200"><f>'CO2 factors'!J$7*N36</f><v>0</v></c><c r="O110" s="200"><f>'CO2 factors'!K$7*O36</f><v>0</v></c><c r="P110" s="200"><f>'CO2 factors'!L$7*P36</f><v>0</v></c><c r="Q110" s="200"><f>'CO2 factors'!M$7*Q36</f><v>0</v></c><c r="R110" s="200"><f>'CO2 factors'!N$7*R36</f><v>0</v></c><c r="S110" s="200"><f>'CO2 factors'!O$7*S36</f><v>0</v></c><c r="T110" s="68"><f t="shared" si="31"/><v>0</v></c><c r="U110" s="68"><f t="shared" si="32"/><v>47975.136654866845</v></c></row><row r="111" spans="1:21" s="21" customFormat="1" ht="15.75"><c r="A111" s="22"/><c r="B111" s="198" t="str"><f>Translation!A79</f><v>General public administration and social security</v></c><c r="C111" s="200"><f t="shared" si="42"/><v>665.38709693361727</v></c><c r="D111" s="200"><f t="shared" si="43"/><v>0</v></c><c r="E111" s="200"><f t="shared" si="44"/><v>0</v></c><c r="F111" s="68"><f t="shared" si="27"/><v>665.38709693361727</v></c><c r="G111" s="200"><f>'CO2 factors'!C$7*G37</f><v>50.79310102610156</v></c><c r="H111" s="200"><f>'CO2 factors'!D$7*H37</f><v>0</v></c><c r="I111" s="200"><f>'CO2 factors'!E$7*I37</f><v>0</v></c><c r="J111" s="200"><f>'CO2 factors'!F$7*J37</f><v>24.953296580967969</v></c><c r="K111" s="200"><f>'CO2 factors'!G$7*K37</f><v>0</v></c><c r="L111" s="200"><f>'CO2 factors'!H$7*L37</f><v>0</v></c><c r="M111" s="68"><f t="shared" si="29"/><v>75.746397607069525</v></c><c r="N111" s="200"><f>'CO2 factors'!J$7*N37</f><v>0</v></c><c r="O111" s="200"><f>'CO2 factors'!K$7*O37</f><v>0</v></c><c r="P111" s="200"><f>'CO2 factors'!L$7*P37</f><v>0</v></c><c r="Q111" s="200"><f>'CO2 factors'!M$7*Q37</f><v>0</v></c><c r="R111" s="200"><f>'CO2 factors'!N$7*R37</f><v>0</v></c><c r="S111" s="200"><f>'CO2 factors'!O$7*S37</f><v>0</v></c><c r="T111" s="68"><f t="shared" si="31"/><v>0</v></c><c r="U111" s="68"><f t="shared" si="32"/><v>741.1334945406868</v></c></row><row r="112" spans="1:21" s="21" customFormat="1" ht="15.75"><c r="A112" s="22"/><c r="B112" s="198" t="str"><f>Translation!A80</f><v>Defense, justice, police and fire departments</v></c><c r="C112" s="200"><f t="shared" si="42"/><v>94.82577673947624</v></c><c r="D112" s="200"><f t="shared" si="43"/><v>0</v></c><c r="E112" s="200"><f t="shared" si="44"/><v>0</v></c><c r="F112" s="68"><f t="shared" si="27"/><v>94.82577673947624</v></c><c r="G112" s="200"><f>'CO2 factors'!C$7*G38</f><v>7.2386363967729457</v></c><c r="H112" s="200"><f>'CO2 factors'!D$7*H38</f><v>0</v></c><c r="I112" s="200"><f>'CO2 factors'!E$7*I38</f><v>0</v></c><c r="J112" s="200"><f>'CO2 factors'!F$7*J38</f><v>3.5561491068963011</v></c><c r="K112" s="200"><f>'CO2 factors'!G$7*K38</f><v>0</v></c><c r="L112" s="200"><f>'CO2 factors'!H$7*L38</f><v>0</v></c><c r="M112" s="68"><f t="shared" si="29"/><v>10.794785503669246</v></c><c r="N112" s="200"><f>'CO2 factors'!J$7*N38</f><v>0</v></c><c r="O112" s="200"><f>'CO2 factors'!K$7*O38</f><v>0</v></c><c r="P112" s="200"><f>'CO2 factors'!L$7*P38</f><v>0</v></c><c r="Q112" s="200"><f>'CO2 factors'!M$7*Q38</f><v>0</v></c><c r="R112" s="200"><f>'CO2 factors'!N$7*R38</f><v>0</v></c><c r="S112" s="200"><f>'CO2 factors'!O$7*S38</f><v>0</v></c><c r="T112" s="68"><f t="shared" si="31"/><v>0</v></c><c r="U112" s="68"><f t="shared" si="32"/><v>105.62056224314549</v></c></row><row r="113" spans="1:31" s="21" customFormat="1" ht="15.75"><c r="A113" s="22"/><c r="B113" s="198" t="str"><f>Translation!A81</f><v>Education</v></c><c r="C113" s="200"><f t="shared" si="42"/><v>879.71793147203152</v></c><c r="D113" s="200"><f t="shared" si="43"/><v>0</v></c><c r="E113" s="200"><f t="shared" si="44"/><v>0</v></c><c r="F113" s="68"><f t="shared" si="27"/><v>879.71793147203152</v></c><c r="G113" s="200"><f>'CO2 factors'!C$7*G39</f><v>67.154295557657761</v></c><c r="H113" s="200"><f>'CO2 factors'!D$7*H39</f><v>0</v></c><c r="I113" s="200"><f>'CO2 factors'!E$7*I39</f><v>0</v></c><c r="J113" s="200"><f>'CO2 factors'!F$7*J39</f><v>32.991115326372658</v></c><c r="K113" s="200"><f>'CO2 factors'!G$7*K39</f><v>0</v></c><c r="L113" s="200"><f>'CO2 factors'!H$7*L39</f><v>0</v></c><c r="M113" s="68"><f t="shared" si="29"/><v>100.14541088403041</v></c><c r="N113" s="200"><f>'CO2 factors'!J$7*N39</f><v>0</v></c><c r="O113" s="200"><f>'CO2 factors'!K$7*O39</f><v>0</v></c><c r="P113" s="200"><f>'CO2 factors'!L$7*P39</f><v>0</v></c><c r="Q113" s="200"><f>'CO2 factors'!M$7*Q39</f><v>0</v></c><c r="R113" s="200"><f>'CO2 factors'!N$7*R39</f><v>0</v></c><c r="S113" s="200"><f>'CO2 factors'!O$7*S39</f><v>0</v></c><c r="T113" s="68"><f t="shared" si="31"/><v>0</v></c><c r="U113" s="68"><f t="shared" si="32"/><v>979.86334235606193</v></c></row><row r="114" spans="1:31" s="21" customFormat="1" ht="15.75"><c r="A114" s="22"/><c r="B114" s="198" t="str"><f>Translation!A82</f><v>Human health and social work activities</v></c><c r="C114" s="200"><f t="shared" si="42"/><v>4050.902606323813</v></c><c r="D114" s="200"><f t="shared" si="43"/><v>0</v></c><c r="E114" s="200"><f t="shared" si="44"/><v>0</v></c><c r="F114" s="68"><f t="shared" si="27"/><v>4050.902606323813</v></c><c r="G114" s="200"><f>'CO2 factors'!C$7*G40</f><v>309.23038074847301</v></c><c r="H114" s="200"><f>'CO2 factors'!D$7*H40</f><v>0</v></c><c r="I114" s="200"><f>'CO2 factors'!E$7*I40</f><v>0</v></c><c r="J114" s="200"><f>'CO2 factors'!F$7*J40</f><v>151.91664314208799</v></c><c r="K114" s="200"><f>'CO2 factors'!G$7*K40</f><v>0</v></c><c r="L114" s="200"><f>'CO2 factors'!H$7*L40</f><v>0</v></c><c r="M114" s="68"><f t="shared" si="29"/><v>461.147023890561</v></c><c r="N114" s="200"><f>'CO2 factors'!J$7*N40</f><v>0</v></c><c r="O114" s="200"><f>'CO2 factors'!K$7*O40</f><v>0</v></c><c r="P114" s="200"><f>'CO2 factors'!L$7*P40</f><v>0</v></c><c r="Q114" s="200"><f>'CO2 factors'!M$7*Q40</f><v>0</v></c><c r="R114" s="200"><f>'CO2 factors'!N$7*R40</f><v>0</v></c><c r="S114" s="200"><f>'CO2 factors'!O$7*S40</f><v>0</v></c><c r="T114" s="68"><f t="shared" si="31"/><v>0</v></c><c r="U114" s="68"><f t="shared" si="32"/><v>4512.0496302143738</v></c></row><row r="115" spans="1:31" s="21" customFormat="1" ht="15.75"><c r="A115" s="22"/><c r="B115" s="198" t="str"><f>Translation!A83</f><v>Other services</v></c><c r="C115" s="200"><f t="shared" si="42"/><v>5964.3723913631611</v></c><c r="D115" s="200"><f t="shared" si="43"/><v>0</v></c><c r="E115" s="200"><f t="shared" si="44"/><v>0</v></c><c r="F115" s="68"><f t="shared" si="27"/><v>5964.3723913631611</v></c><c r="G115" s="200"><f>'CO2 factors'!C$7*G41</f><v>455.29733117446369</v></c><c r="H115" s="200"><f>'CO2 factors'!D$7*H41</f><v>0</v></c><c r="I115" s="200"><f>'CO2 factors'!E$7*I41</f><v>0</v></c><c r="J115" s="200"><f>'CO2 factors'!F$7*J41</f><v>223.67544229050529</v></c><c r="K115" s="200"><f>'CO2 factors'!G$7*K41</f><v>0</v></c><c r="L115" s="200"><f>'CO2 factors'!H$7*L41</f><v>0</v></c><c r="M115" s="68"><f t="shared" si="29"/><v>678.97277346496901</v></c><c r="N115" s="200"><f>'CO2 factors'!J$7*N41</f><v>0</v></c><c r="O115" s="200"><f>'CO2 factors'!K$7*O41</f><v>0</v></c><c r="P115" s="200"><f>'CO2 factors'!L$7*P41</f><v>0</v></c><c r="Q115" s="200"><f>'CO2 factors'!M$7*Q41</f><v>0</v></c><c r="R115" s="200"><f>'CO2 factors'!N$7*R41</f><v>0</v></c><c r="S115" s="200"><f>'CO2 factors'!O$7*S41</f><v>0</v></c><c r="T115" s="68"><f t="shared" si="31"/><v>0</v></c><c r="U115" s="68"><f t="shared" si="32"/><v>6643.3451648281298</v></c></row><row r="116" spans="1:31" s="21" customFormat="1" ht="15.75"><c r="A116" s="22"/><c r="B116" s="198" t="str"><f>Translation!A84</f><v>Public lighting</v></c><c r="C116" s="200"><f t="shared" si="42"/><v>1725.9655766249994</v></c><c r="D116" s="200"><f t="shared" si="43"/><v>0</v></c><c r="E116" s="200"><f t="shared" si="44"/><v>0</v></c><c r="F116" s="68"><f t="shared" si="27"/><v>1725.9655766249994</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1725.9655766249994</v></c></row><row r="117" spans="1:31" s="21" customFormat="1" ht="15.75"><c r="A117" s="22"/><c r="B117" s="65" t="str"><f>Translation!A85</f><v>TRANSPORTS</v></c><c r="C117" s="68"><f>SUM(C118:C121)</f><v>19.783795147084977</v></c><c r="D117" s="68"><f>SUM(D118:D121)</f><v>0</v></c><c r="E117" s="68"><f>SUM(E118:E121)</f><v>0</v></c><c r="F117" s="68"><f t="shared" si="27"/><v>19.783795147084977</v></c><c r="G117" s="68"><f t="shared" ref="G117:L117" si="45">SUM(G118:G121)</f><v>0</v></c><c r="H117" s="68"><f t="shared" si="45"/><v>34212.722345766793</v></c><c r="I117" s="68"><f t="shared" si="45"/><v>41260.23221409606</v></c><c r="J117" s="68"><f t="shared" si="45"/><v>0</v></c><c r="K117" s="68"><f t="shared" si="45"/><v>0</v></c><c r="L117" s="68"><f t="shared" si="45"/><v>0</v></c><c r="M117" s="68"><f t="shared" si="29"/><v>75472.954559862847</v></c><c r="N117" s="68"><f t="shared" ref="N117:S117" si="46">SUM(N118:N121)</f><v>0</v></c><c r="O117" s="68"><f t="shared" si="46"/><v>0</v></c><c r="P117" s="68"><f t="shared" si="46"/><v>0</v></c><c r="Q117" s="68"><f t="shared" si="46"/><v>0</v></c><c r="R117" s="68"><f t="shared" si="46"/><v>0</v></c><c r="S117" s="68"><f t="shared" si="46"/><v>0</v></c><c r="T117" s="68"><f t="shared" si="31"/><v>0</v></c><c r="U117" s="68"><f t="shared" si="32"/><v>75492.738355009933</v></c></row><row r="118" spans="1:31" s="21" customFormat="1" ht="30"><c r="A118" s="22"/><c r="B118" s="198" t="str"><f>Translation!A86</f><v>Passenger road transport and other passenger road transport services (public transports, taxi, tourism, school buses, etc.)</v></c><c r="C118" s="200"><f>IF(C$48&gt;0, ($S$128+$V$137)/C$48,0)*C44</f><v>19.783795147084977</v></c><c r="D118" s="200"><f>IF(D$48&gt;0, ($S$129)/D$48,0)*D44</f><v>0</v></c><c r="E118" s="200"><f>IF(E$48&gt;0, ($S$130)/E$48,0)*E44</f><v>0</v></c><c r="F118" s="68"><f t="shared" si="27"/><v>19.783795147084977</v></c><c r="G118" s="200"><f>'CO2 factors'!C$7*G44</f><v>0</v></c><c r="H118" s="200"><f>'CO2 factors'!D$7*H44</f><v>684.86340068663719</v></c><c r="I118" s="200"><f>'CO2 factors'!E$7*I44</f><v>825.93903699576674</v></c><c r="J118" s="200"><f>'CO2 factors'!F$7*J44</f><v>0</v></c><c r="K118" s="200"><f>'CO2 factors'!G$7*K44</f><v>0</v></c><c r="L118" s="200"><f>'CO2 factors'!H$7*L44</f><v>0</v></c><c r="M118" s="68"><f t="shared" si="29"/><v>1510.8024376824039</v></c><c r="N118" s="200"><f>'CO2 factors'!J$7*N44</f><v>0</v></c><c r="O118" s="200"><f>'CO2 factors'!K$7*O44</f><v>0</v></c><c r="P118" s="200"><f>'CO2 factors'!L$7*P44</f><v>0</v></c><c r="Q118" s="200"><f>'CO2 factors'!M$7*Q44</f><v>0</v></c><c r="R118" s="200"><f>'CO2 factors'!N$7*R44</f><v>0</v></c><c r="S118" s="200"><f>'CO2 factors'!O$7*S44</f><v>0</v></c><c r="T118" s="68"><f t="shared" si="31"/><v>0</v></c><c r="U118" s="68"><f t="shared" si="32"/><v>1530.5862328294888</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10957.814410986195</v></c><c r="I119" s="200"><f>'CO2 factors'!E$7*I45</f><v>13215.024591932268</v></c><c r="J119" s="200"><f>'CO2 factors'!F$7*J45</f><v>0</v></c><c r="K119" s="200"><f>'CO2 factors'!G$7*K45</f><v>0</v></c><c r="L119" s="200"><f>'CO2 factors'!H$7*L45</f><v>0</v></c><c r="M119" s="68"><f t="shared" si="29"/><v>24172.839002918463</v></c><c r="N119" s="200"><f>'CO2 factors'!J$7*N45</f><v>0</v></c><c r="O119" s="200"><f>'CO2 factors'!K$7*O45</f><v>0</v></c><c r="P119" s="200"><f>'CO2 factors'!L$7*P45</f><v>0</v></c><c r="Q119" s="200"><f>'CO2 factors'!M$7*Q45</f><v>0</v></c><c r="R119" s="200"><f>'CO2 factors'!N$7*R45</f><v>0</v></c><c r="S119" s="200"><f>'CO2 factors'!O$7*S45</f><v>0</v></c><c r="T119" s="68"><f t="shared" si="31"/><v>0</v></c><c r="U119" s="68"><f t="shared" si="32"/><v>24172.839002918463</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22570.044534093959</v></c><c r="I121" s="200"><f>'CO2 factors'!E$7*I47</f><v>27219.268585168025</v></c><c r="J121" s="200"><f>'CO2 factors'!F$7*J47</f><v>0</v></c><c r="K121" s="200"><f>'CO2 factors'!G$7*K47</f><v>0</v></c><c r="L121" s="200"><f>'CO2 factors'!H$7*L47</f><v>0</v></c><c r="M121" s="68"><f t="shared" si="29"/><v>49789.313119261984</v></c><c r="N121" s="200"><f>'CO2 factors'!J$7*N47</f><v>0</v></c><c r="O121" s="200"><f>'CO2 factors'!K$7*O47</f><v>0</v></c><c r="P121" s="200"><f>'CO2 factors'!L$7*P47</f><v>0</v></c><c r="Q121" s="200"><f>'CO2 factors'!M$7*Q47</f><v>0</v></c><c r="R121" s="200"><f>'CO2 factors'!N$7*R47</f><v>0</v></c><c r="S121" s="200"><f>'CO2 factors'!O$7*S47</f><v>0</v></c><c r="T121" s="68"><f t="shared" si="31"/><v>0</v></c><c r="U121" s="68"><f t="shared" si="32"/><v>49789.313119261984</v></c></row><row r="122" spans="1:31" s="21" customFormat="1" ht="15.75"><c r="A122" s="22"/><c r="B122" s="77" t="str"><f>Translation!A117</f><v>TOTAL FOR INTERNAL MARKET</v></c><c r="C122" s="69"><f>C91+C101+C104+C108+C117</f><v>102211.04733653786</v></c><c r="D122" s="69"><f>D91+D101+D104+D108+D117</f><v>0</v></c><c r="E122" s="69"><f>E91+E101+E104+E108+E117</f><v>0</v></c><c r="F122" s="68"><f t="shared" si="27"/><v>102211.04733653786</v></c><c r="G122" s="69"><f t="shared" ref="G122:L122" si="47">G91+G101+G104+G108+G117</f><v>11990.340548910877</v></c><c r="H122" s="69"><f t="shared" si="47"/><v>34212.722345766793</v></c><c r="I122" s="69"><f t="shared" si="47"/><v>41260.23221409606</v></c><c r="J122" s="69"><f t="shared" si="47"/><v>3518.5940690686853</v></c><c r="K122" s="69"><f t="shared" si="47"/><v>0</v></c><c r="L122" s="69"><f t="shared" si="47"/><v>0</v></c><c r="M122" s="68"><f t="shared" si="29"/><v>90981.889177842415</v></c><c r="N122" s="69"><f t="shared" ref="N122:S122" si="48">N91+N101+N104+N108+N117</f><v>0</v></c><c r="O122" s="69"><f t="shared" si="48"/><v>0</v></c><c r="P122" s="69"><f t="shared" si="48"/><v>0</v></c><c r="Q122" s="69"><f t="shared" si="48"/><v>0</v></c><c r="R122" s="69"><f t="shared" si="48"/><v>0</v></c><c r="S122" s="69"><f t="shared" si="48"/><v>0</v></c><c r="T122" s="68"><f t="shared" si="31"/><v>0</v></c><c r="U122" s="68"><f t="shared" si="32"/><v>193192.93651438027</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25" t="str"><f>Translation!A120</f><v>PRODUCTION SECTOR</v></c><c r="C125" s="299" t="str"><f>Translation!A142</f><v>PRIMARY ENERGY SOURCE</v></c><c r="D125" s="300"/><c r="E125" s="300"/><c r="F125" s="300"/><c r="G125" s="300"/><c r="H125" s="300"/><c r="I125" s="300"/><c r="J125" s="300"/><c r="K125" s="300"/><c r="L125" s="300"/><c r="M125" s="300"/><c r="N125" s="300"/><c r="O125" s="300"/><c r="P125" s="300"/><c r="Q125" s="300"/><c r="R125" s="300"/><c r="S125" s="301"/><c r="T125" s="64"/><c r="U125" s="302" t="str"><f>Translation!A122</f><v>Energy product</v></c><c r="V125" s="303"/><c r="W125" s="308" t="str"><f>Translation!A149</f><v>CO2 EMISSION FACTORS</v></c><c r="X125" s="61"/><c r="Y125" s="61"/><c r="Z125" s="61"/><c r="AA125" s="61"/><c r="AB125" s="61"/><c r="AC125" s="61"/><c r="AD125" s="61"/><c r="AE125" s="61"/></row><row r="126" spans="1:31" s="55" customFormat="1" ht="15" customHeight="1"><c r="B126" s="326"/><c r="C126" s="299" t="str"><f>Translation!A98</f><v>Fossil fuels</v></c><c r="D126" s="300"/><c r="E126" s="300"/><c r="F126" s="300"/><c r="G126" s="300"/><c r="H126" s="300"/><c r="I126" s="301"/><c r="J126" s="299" t="str"><f>Translation!A107</f><v>Renewable energy sources</v></c><c r="K126" s="300"/><c r="L126" s="300"/><c r="M126" s="300"/><c r="N126" s="300"/><c r="O126" s="300"/><c r="P126" s="300"/><c r="Q126" s="300"/><c r="R126" s="301"/><c r="S126" s="311" t="str"><f>Translation!A118</f><v>TOTAL</v></c><c r="T126" s="64"/><c r="U126" s="304"/><c r="V126" s="305"/><c r="W126" s="309"/><c r="X126" s="61"/><c r="Y126" s="61"/><c r="Z126" s="61"/><c r="AA126" s="61"/><c r="AB126" s="61"/><c r="AC126" s="61"/><c r="AD126" s="61"/><c r="AE126" s="61"/></row><row r="127" spans="1:31" s="55" customFormat="1" ht="69.75" customHeight="1"><c r="B127" s="65" t="str"><f>Translation!A122</f><v>Energy product</v></c><c r="C127" s="260" t="str"><f>Translation!A99</f><v>Fueloil</v></c><c r="D127" s="260" t="str"><f>Translation!A100</f><v>Diesel</v></c><c r="E127" s="260" t="str"><f>Translation!A101</f><v>Gasoline</v></c><c r="F127" s="260" t="str"><f>Translation!A102</f><v>LPG</v></c><c r="G127" s="260" t="str"><f>Translation!A103</f><v>Natural gas</v></c><c r="H127" s="260" t="str"><f>Translation!A104</f><v>Coal</v></c><c r="I127" s="260" t="str"><f>Translation!A116</f><v>Subtotal</v></c><c r="J127" s="260" t="str"><f>Translation!A108</f><v>Hydro</v></c><c r="K127" s="260" t="str"><f>Translation!A109</f><v>Wind</v></c><c r="L127" s="260" t="str"><f>Translation!A110</f><v>Solar</v></c><c r="M127" s="260" t="str"><f>Translation!A111</f><v>Geothermal</v></c><c r="N127" s="260" t="str"><f>Translation!A112</f><v>Ocean</v></c><c r="O127" s="260" t="str"><f>Translation!A113</f><v>Biomass</v></c><c r="P127" s="260" t="str"><f>Translation!A114</f><v>Urban waste</v></c><c r="Q127" s="260" t="str"><f>Translation!A115</f><v>Energy recovery</v></c><c r="R127" s="260" t="str"><f>Translation!A116</f><v>Subtotal</v></c><c r="S127" s="311"/><c r="T127" s="64"/><c r="U127" s="306"/><c r="V127" s="307"/><c r="W127" s="310"/><c r="X127" s="61"/><c r="Y127" s="61"/><c r="Z127" s="61"/><c r="AA127" s="61"/><c r="AB127" s="61"/><c r="AC127" s="61"/><c r="AD127" s="61"/><c r="AE127" s="61"/></row><row r="128" spans="1:31" s="55" customFormat="1" ht="15.75"><c r="B128" s="199" t="str"><f>Translation!A123</f><v>Electricity</v></c><c r="C128" s="204"><f>'CO2 factors'!C$7*C67</f><v>36876.453094255565</v></c><c r="D128" s="204"><f>'CO2 factors'!D$7*D67</f><v>2245.8129231055395</v></c><c r="E128" s="204"><f>'CO2 factors'!E$7*E67</f><v>0</v></c><c r="F128" s="204"><f>'CO2 factors'!F$7*F67</f><v>0</v></c><c r="G128" s="204"><f>'CO2 factors'!G$7*G67</f><v>63088.781319176756</v></c><c r="H128" s="204"><f>'CO2 factors'!H$7*H67</f><v>0</v></c><c r="I128" s="63"><f>SUM(C128:H128)</f><v>102211.04733653786</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102211.04733653786</v></c><c r="T128" s="62"/><c r="U128" s="313" t="str"><f>Translation!A123</f><v>Electricity</v></c><c r="V128" s="314"/><c r="W128" s="205"><f>IF(S58&gt;0,S128/S58,0)</f><v>0.54866811068253885</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2" t="str"><f>Translation!A124</f><v>Heat</v></c><c r="V129" s="312"/><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2" t="str"><f>Translation!A125</f><v>Cold</v></c><c r="V130" s="312"/><c r="W130" s="205"><f>IF(S60&gt;0,S130/S60,0)</f><v>0</v></c><c r="X130" s="61"/><c r="Y130" s="61"/><c r="Z130" s="61"/><c r="AA130" s="61"/><c r="AB130" s="61"/><c r="AC130" s="61"/><c r="AD130" s="61"/><c r="AE130" s="61"/></row><row r="131" spans="1:31" s="55" customFormat="1" ht="15.75"><c r="B131" s="252" t="str"><f>Translation!A118</f><v>TOTAL</v></c><c r="C131" s="57"><f t="shared" ref="C131:S131" si="49">SUM(C128:C130)</f><v>36876.453094255565</v></c><c r="D131" s="57"><f t="shared" si="49"/><v>2245.8129231055395</v></c><c r="E131" s="57"><f t="shared" si="49"/><v>0</v></c><c r="F131" s="57"><f t="shared" si="49"/><v>0</v></c><c r="G131" s="57"><f t="shared" si="49"/><v>63088.781319176756</v></c><c r="H131" s="57"><f t="shared" si="49"/><v>0</v></c><c r="I131" s="57"><f t="shared" si="49"/><v>102211.04733653786</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102211.04733653786</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37" t="str"><f>Translation!A122</f><v>Energy product</v></c><c r="C134" s="296" t="str"><f>Translation!A142</f><v>PRIMARY ENERGY SOURCE</v></c><c r="D134" s="297"/><c r="E134" s="297"/><c r="F134" s="297"/><c r="G134" s="297"/><c r="H134" s="297"/><c r="I134" s="297"/><c r="J134" s="297"/><c r="K134" s="297"/><c r="L134" s="297"/><c r="M134" s="297"/><c r="N134" s="297"/><c r="O134" s="297"/><c r="P134" s="297"/><c r="Q134" s="297"/><c r="R134" s="297"/><c r="S134" s="297"/><c r="T134" s="297"/><c r="U134" s="297"/><c r="V134" s="297"/><c r="W134" s="297"/><c r="X134" s="297"/><c r="Y134" s="298"/><c r="AA134" s="308" t="str"><f>Translation!A150</f><v>CO2 emissions from ETS installations included in the calculations for final use of energy</v></c><c r="AB134" s="308" t="str"><f>Translation!A151</f><v>CO2 emissions from ETS installations included in the calculations for secondary energy production</v></c></row><row r="135" spans="1:31" s="55" customFormat="1" ht="15" customHeight="1"><c r="B135" s="338"/><c r="C135" s="296" t="str"><f>Translation!A98</f><v>Fossil fuels</v></c><c r="D135" s="297"/><c r="E135" s="297"/><c r="F135" s="297"/><c r="G135" s="297"/><c r="H135" s="297"/><c r="I135" s="298"/><c r="J135" s="296" t="str"><f>Translation!A107</f><v>Renewable energy sources</v></c><c r="K135" s="297"/><c r="L135" s="297"/><c r="M135" s="297"/><c r="N135" s="297"/><c r="O135" s="297"/><c r="P135" s="297"/><c r="Q135" s="297"/><c r="R135" s="298"/><c r="S135" s="315" t="str"><f>Translation!A123</f><v>Electricity</v></c><c r="T135" s="316"/><c r="U135" s="316"/><c r="V135" s="317"/><c r="W135" s="256" t="str"><f>Translation!A124</f><v>Heat</v></c><c r="X135" s="256" t="str"><f>Translation!A125</f><v>Cold</v></c><c r="Y135" s="269" t="str"><f>Translation!A118</f><v>TOTAL</v></c><c r="AA135" s="309"/><c r="AB135" s="309"/></row><row r="136" spans="1:31" s="55" customFormat="1" ht="90.75" customHeight="1"><c r="B136" s="339"/><c r="C136" s="253" t="str"><f>Translation!A99</f><v>Fueloil</v></c><c r="D136" s="253" t="str"><f>Translation!A100</f><v>Diesel</v></c><c r="E136" s="253" t="str"><f>Translation!A101</f><v>Gasoline</v></c><c r="F136" s="253" t="str"><f>Translation!A102</f><v>LPG</v></c><c r="G136" s="253" t="str"><f>Translation!A103</f><v>Natural gas</v></c><c r="H136" s="253" t="str"><f>Translation!A104</f><v>Coal</v></c><c r="I136" s="253" t="str"><f>Translation!A116</f><v>Subtotal</v></c><c r="J136" s="253" t="str"><f>Translation!A108</f><v>Hydro</v></c><c r="K136" s="253" t="str"><f>Translation!A109</f><v>Wind</v></c><c r="L136" s="253" t="str"><f>Translation!A110</f><v>Solar</v></c><c r="M136" s="253" t="str"><f>Translation!A111</f><v>Geothermal</v></c><c r="N136" s="253" t="str"><f>Translation!A112</f><v>Ocean</v></c><c r="O136" s="253" t="str"><f>Translation!A113</f><v>Biomass</v></c><c r="P136" s="253" t="str"><f>Translation!A114</f><v>Urban waste</v></c><c r="Q136" s="253" t="str"><f>Translation!A115</f><v>Energy recovery</v></c><c r="R136" s="253" t="str"><f>Translation!A116</f><v>Subtotal</v></c><c r="S136" s="58" t="str"><f>Translation!A144</f><v>Imported electricity (cable)</v></c><c r="T136" s="58" t="str"><f>Translation!A145</f><v>Exported electricity (cable)</v></c><c r="U136" s="58" t="str"><f>Translation!A136</f><v>Reexportation and external consumption</v></c><c r="V136" s="257" t="str"><f>Translation!A116</f><v>Subtotal</v></c><c r="W136" s="257" t="str"><f>Translation!A136</f><v>Reexportation and external consumption</v></c><c r="X136" s="257" t="str"><f>Translation!A136</f><v>Reexportation and external consumption</v></c><c r="Y136" s="269"/><c r="AA136" s="310"/><c r="AB136" s="310"/></row><row r="137" spans="1:31" s="55" customFormat="1" ht="15.75"><c r="B137" s="255" t="str"><f>Translation!A118</f><v>TOTAL</v></c><c r="C137" s="201"><f>'CO2 factors'!C$7*C76</f><v>48866.793643166442</v></c><c r="D137" s="201"><f>'CO2 factors'!D$7*D76</f><v>36458.535268872329</v></c><c r="E137" s="201"><f>'CO2 factors'!E$7*E76</f><v>41260.232214096053</v></c><c r="F137" s="201"><f>'CO2 factors'!F$7*F76</f><v>3518.5940690686853</v></c><c r="G137" s="201"><f>'CO2 factors'!G$7*G76</f><v>63088.781319176756</v></c><c r="H137" s="201"><f>'CO2 factors'!H$7*H76</f><v>0</v></c><c r="I137" s="57"><f>SUM(C137:H137)</f><v>193192.93651438027</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193192.93651438027</v></c><c r="AA137" s="164"/><c r="AB137" s="164"/></row><row r="138" spans="1:31" s="55" customFormat="1" ht="15"><c r="B138" s="56"/></row><row r="139" spans="1:31" ht="15.75" customHeight="1"><c r="A139" s="154"/><c r="B139" s="155"/></row><row r="140" spans="1:31" ht="18.75" customHeight="1"><c r="A140" s="153"/><c r="B140" s="285" t="str"><f>Translation!A155</f><v xml:space="preserve">Go to the next sheet dedicated to your Island Sustainable Energy Action Plan </v></c><c r="C140" s="286"/><c r="D140" s="286"/><c r="E140" s="286"/><c r="F140" s="286"/><c r="G140" s="286"/><c r="H140" s="286"/><c r="I140" s="286"/><c r="J140" s="286"/><c r="K140" s="286"/><c r="L140" s="286"/><c r="M140" s="286"/><c r="N140" s="286"/><c r="O140" s="286"/><c r="P140" s="286"/><c r="Q140" s="286"/><c r="R140" s="286"/><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8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87"/><c r="D142" s="287"/><c r="E142" s="287"/><c r="F142" s="287"/><c r="G142" s="287"/><c r="H142" s="287"/><c r="I142" s="287"/><c r="J142" s="287"/><c r="K142" s="287"/><c r="L142" s="287"/><c r="M142" s="287"/><c r="N142" s="287"/><c r="O142" s="287"/><c r="P142" s="287"/><c r="Q142" s="287"/><c r="R142" s="287"/><c r="S142" s="287"/><c r="T142" s="287"/><c r="U142" s="287"/></row><row r="143" spans="1:31" ht="12.75" customHeight="1"><c r="B143" s="287"/><c r="C143" s="287"/><c r="D143" s="287"/><c r="E143" s="287"/><c r="F143" s="287"/><c r="G143" s="287"/><c r="H143" s="287"/><c r="I143" s="287"/><c r="J143" s="287"/><c r="K143" s="287"/><c r="L143" s="287"/><c r="M143" s="287"/><c r="N143" s="287"/><c r="O143" s="287"/><c r="P143" s="287"/><c r="Q143" s="287"/><c r="R143" s="287"/><c r="S143" s="287"/><c r="T143" s="287"/><c r="U143" s="287"/></row><row r="144" spans="1:31" ht="12.75" customHeight="1"><c r="B144" s="287"/><c r="C144" s="287"/><c r="D144" s="287"/><c r="E144" s="287"/><c r="F144" s="287"/><c r="G144" s="287"/><c r="H144" s="287"/><c r="I144" s="287"/><c r="J144" s="287"/><c r="K144" s="287"/><c r="L144" s="287"/><c r="M144" s="287"/><c r="N144" s="287"/><c r="O144" s="287"/><c r="P144" s="287"/><c r="Q144" s="287"/><c r="R144" s="287"/><c r="S144" s="287"/><c r="T144" s="287"/><c r="U144" s="287"/></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82" zoomScale="55" zoomScaleNormal="55" workbookViewID_"0"><selection activeCell="F17" sqref="F17:F51"/></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66" t="str"><f>Translation!$A$31</f><v>Island  Sustainable Energy Action Plan (ISEAP)</v></c><c r="B1" s="266"/><c r="C1" s="266"/><c r="D1" s="266"/><c r="E1" s="266"/><c r="F1" s="266"/><c r="G1" s="266"/><c r="H1" s="266"/><c r="I1" s="266"/><c r="J1" s="266"/><c r="K1" s="266"/><c r="L1" s="266"/><c r="M1" s="266"/><c r="N1" s="266"/><c r="O1" s="266"/><c r="P1" s="266"/><c r="Q1" s="266"/><c r="R1" s="266"/><c r="S1" s="266"/><c r="T1" s="266"/><c r="U1" s="266"/></row><row r="2" spans="1:30" s="21" customFormat="1" ht="28.5" customHeight="1"><c r="A2" s="82"/><c r="B2" s="83" t="s"><v>450</v></c><c r="C2" s="82"/><c r="D2" s="82"/><c r="E2" s="82"/><c r="F2" s="86"/><c r="G2" s="86"/><c r="H2" s="87"/><c r="I2" s="84" t="str"><f>Translation!$A$10</f><v>Island</v></c><c r="J2" s="85" t="str"><f>'Start here'!$B$5</f><v>Cyprus - Paralimni</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80" t="str"><f>Translation!A154</f><v>PLAN EMISSION INVENTORY IN 2020 (implementing sustainable energy actions)</v></c><c r="B4" s="280"/><c r="C4" s="280"/><c r="D4" s="280"/><c r="E4" s="280"/><c r="F4" s="280"/><c r="G4" s="280"/><c r="H4" s="280"/><c r="I4" s="280"/><c r="J4" s="280"/><c r="K4" s="280"/><c r="L4" s="280"/><c r="M4" s="280"/><c r="N4" s="280"/><c r="O4" s="280"/><c r="P4" s="280"/><c r="Q4" s="280"/><c r="R4" s="280"/><c r="S4" s="280"/><c r="T4" s="280"/><c r="U4" s="280"/><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84" t="str"><f>Translation!$A$53</f><v>Mandatory fields</v></c><c r="T6" s="284"/><c r="U6" s="284"/></row><row r="7" spans="1:30" s="135" customFormat="1" ht="36"><c r="A7" s="133" t="s"><v>0</v></c><c r="B7" s="134" t="str"><f>Translation!A50</f><v>GENERAL DATA</v></c><c r="L7" s="136"/></row><row r="8" spans="1:30" ht="21"><c r="A8" s="137"/><c r="B8" s="139" t="str"><f>Translation!A52</f><v>Number of inhabitants</v></c><c r="C8" s="334"><v>15234</v></c><c r="D8" s="335"/><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36" t="str"><f>'Start here'!F7</f><v>IPCC emission factors</v></c><c r="D10" s="336"/><c r="E10" s="336"/><c r="F10" s="336"/><c r="G10" s="336"/><c r="H10" s="336"/><c r="I10" s="336"/><c r="J10" s="336"/><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4" t="str"><f>Translation!A56</f><v>DEMAND SECTOR</v></c><c r="C14" s="296" t="str"><f>Translation!A93</f><v>ENERGY FOR FINAL USE</v></c><c r="D14" s="297"/><c r="E14" s="297"/><c r="F14" s="297"/><c r="G14" s="297"/><c r="H14" s="297"/><c r="I14" s="297"/><c r="J14" s="297"/><c r="K14" s="297"/><c r="L14" s="297"/><c r="M14" s="297"/><c r="N14" s="297"/><c r="O14" s="297"/><c r="P14" s="297"/><c r="Q14" s="297"/><c r="R14" s="297"/><c r="S14" s="297"/><c r="T14" s="297"/><c r="U14" s="298"/></row><row r="15" spans="1:30" s="55" customFormat="1" ht="18" customHeight="1"><c r="B15" s="295"/><c r="C15" s="296" t="str"><f>Translation!A94</f><v>Centralized energy services</v></c><c r="D15" s="297"/><c r="E15" s="297"/><c r="F15" s="298"/><c r="G15" s="296" t="str"><f>Translation!A98</f><v>Fossil fuels</v></c><c r="H15" s="297"/><c r="I15" s="297"/><c r="J15" s="297"/><c r="K15" s="297"/><c r="L15" s="297"/><c r="M15" s="298"/><c r="N15" s="296" t="str"><f>Translation!A105</f><v>Renewable energy sources (excluding electricity and heat sold to public networks)</v></c><c r="O15" s="297"/><c r="P15" s="297"/><c r="Q15" s="297"/><c r="R15" s="297"/><c r="S15" s="297"/><c r="T15" s="298"/><c r="U15" s="294"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95"/></row><row r="17" spans="1:21" s="21" customFormat="1" ht="15.75"><c r="A17" s="22"/><c r="B17" s="70" t="str"><f>Translation!A59</f><v>RESIDENTIAL</v></c><c r="C17" s="124"><f>SUM(C18:C26)</f><v>41521.002681188256</v></c><c r="D17" s="124"><f>SUM(D18:D26)</f><v>0</v></c><c r="E17" s="124"><f>SUM(E18:E26)</f><v>0</v></c><c r="F17" s="68"><f>SUM(C17:E17)</f><v>41521.002681188256</v></c><c r="G17" s="124"><f t="shared" ref="G17:L17" si="0">SUM(G18:G26)</f><v>18922.104313986256</v></c><c r="H17" s="124"><f t="shared" si="0"/><v>0</v></c><c r="I17" s="124"><f t="shared" si="0"/><v>0</v></c><c r="J17" s="124"><f t="shared" si="0"/><v>2709.596636436379</v></c><c r="K17" s="124"><f t="shared" si="0"/><v>0</v></c><c r="L17" s="124"><f t="shared" si="0"/><v>0</v></c><c r="M17" s="68"><f t="shared" ref="M17:M51" si="1">SUM(G17:L17)</f><v>21631.700950422633</v></c><c r="N17" s="124"><f t="shared" ref="N17:S17" si="2">SUM(N18:N26)</f><v>0</v></c><c r="O17" s="124"><f t="shared" si="2"/><v>0</v></c><c r="P17" s="124"><f t="shared" si="2"/><v>6368.73603895411</v></c><c r="Q17" s="124"><f t="shared" si="2"/><v>175.54785218100307</v></c><c r="R17" s="124"><f t="shared" si="2"/><v>0</v></c><c r="S17" s="124"><f t="shared" si="2"/><v>3533.4631785150623</v></c><c r="T17" s="68"><f t="shared" ref="T17:T51" si="3">SUM(N17:S17)</f><v>10077.747069650175</v></c><c r="U17" s="68"><f t="shared" ref="U17:U51" si="4">F17+M17+T17</f><v>73230.450701261056</v></c></row><row r="18" spans="1:21" s="21" customFormat="1" ht="15.75"><c r="A18" s="22"/><c r="B18" s="197" t="str"><f>Translation!A60</f><v>Hot water</v></c><c r="C18" s="158"><f>'BAU 2020'!C18*(1-ISEAP!$O$119)</f><v>1245.630080435647</v></c><c r="D18" s="158"><f>'BAU 2020'!D18*(1-ISEAP!$O$119)</f><v>0</v></c><c r="E18" s="158"><f>'BAU 2020'!E18*(1-ISEAP!$O$119)</f><v>0</v></c><c r="F18" s="68"><f>SUM(C18:E18)</f><v>1245.630080435647</v></c><c r="G18" s="158"><f>'BAU 2020'!G18*(1-ISEAP!$O$119)</f><v>1089.9263203811918</v></c><c r="H18" s="158"><f>'BAU 2020'!H18*(1-ISEAP!$O$119)</f><v>0</v></c><c r="I18" s="158"><f>'BAU 2020'!I18*(1-ISEAP!$O$119)</f><v>0</v></c><c r="J18" s="158"><f>'BAU 2020'!J18*(1-ISEAP!$O$119)</f><v>77.851880027227935</v></c><c r="K18" s="158"><f>'BAU 2020'!K18*(1-ISEAP!$O$119)</f><v>0</v></c><c r="L18" s="158"><f>'BAU 2020'!L18*(1-ISEAP!$O$119)</f><v>0</v></c><c r="M18" s="68"><f t="shared" si="1"/><v>1167.7782004084197</v></c><c r="N18" s="158"><v>0</v></c><c r="O18" s="158"><v>0</v></c><c r="P18" s="158"><v>6176.6836878501063</v></c><c r="Q18" s="158"><v>47.512951445000809</v></c><c r="R18" s="158"><v>0</v></c><c r="S18" s="158"><v>332.59066011500585</v></c><c r="T18" s="68"><f t="shared" si="3"/><v>6556.7872994101126</v></c><c r="U18" s="68"><f t="shared" si="4"/><v>8970.1955802541797</v></c></row><row r="19" spans="1:21" s="21" customFormat="1" ht="15.75"><c r="A19" s="22"/><c r="B19" s="197" t="str"><f>Translation!A61</f><v>Heating and cooling</v></c><c r="C19" s="158"><f>'BAU 2020'!C19*(1-ISEAP!$O$119)</f><v>29895.121930455549</v></c><c r="D19" s="158"><f>'BAU 2020'!D19*(1-ISEAP!$O$119)</f><v>0</v></c><c r="E19" s="158"><f>'BAU 2020'!E19*(1-ISEAP!$O$119)</f><v>0</v></c><c r="F19" s="68"><f t="shared" ref="F19:F51" si="5">SUM(C19:E19)</f><v>29895.121930455549</v></c><c r="G19" s="158"><f>'BAU 2020'!G19*(1-ISEAP!$O$119)</f><v>17832.177993605063</v></c><c r="H19" s="158"><f>'BAU 2020'!H19*(1-ISEAP!$O$119)</f><v>0</v></c><c r="I19" s="158"><f>'BAU 2020'!I19*(1-ISEAP!$O$119)</f><v>0</v></c><c r="J19" s="158"><f>'BAU 2020'!J19*(1-ISEAP!$O$119)</f><v>2097.903293365302</v></c><c r="K19" s="158"><f>'BAU 2020'!K19*(1-ISEAP!$O$119)</f><v>0</v></c><c r="L19" s="158"><f>'BAU 2020'!L19*(1-ISEAP!$O$119)</f><v>0</v></c><c r="M19" s="68"><f t="shared" si="1"/><v>19930.081286970366</v></c><c r="N19" s="158"><v>0</v></c><c r="O19" s="158"><v>0</v></c><c r="P19" s="158"><v>192.05235110400335</v></c><c r="Q19" s="158"><v>128.03490073600224</v></c><c r="R19" s="158"><v>0</v></c><c r="S19" s="158"><v>3200.8725184000564</v></c><c r="T19" s="68"><f t="shared" si="3"/><v>3520.959770240062</v></c><c r="U19" s="68"><f t="shared" si="4"/><v>53346.162987665979</v></c></row><row r="20" spans="1:21" s="21" customFormat="1" ht="15.75"><c r="A20" s="22"/><c r="B20" s="197" t="str"><f>Translation!A62</f><v>Lighting</v></c><c r="C20" s="158"><f>'BAU 2020'!C20*(1-ISEAP!$O$119)</f><v>1660.8401072475297</v></c><c r="D20" s="158"><f>'BAU 2020'!D20*(1-ISEAP!$O$119)</f><v>0</v></c><c r="E20" s="158"><f>'BAU 2020'!E20*(1-ISEAP!$O$119)</f><v>0</v></c><c r="F20" s="68"><f t="shared" si="5"/><v>1660.8401072475297</v></c><c r="G20" s="158"><f>'BAU 2020'!G20*(1-ISEAP!$O$119)</f><v>0</v></c><c r="H20" s="158"><f>'BAU 2020'!H20*(1-ISEAP!$O$119)</f><v>0</v></c><c r="I20" s="158"><f>'BAU 2020'!I20*(1-ISEAP!$O$119)</f><v>0</v></c><c r="J20" s="158"><f>'BAU 2020'!J20*(1-ISEAP!$O$119)</f><v>0</v></c><c r="K20" s="158"><f>'BAU 2020'!K20*(1-ISEAP!$O$119)</f><v>0</v></c><c r="L20" s="158"><f>'BAU 2020'!L20*(1-ISEAP!$O$119)</f><v>0</v></c><c r="M20" s="68"><f t="shared" si="1"/><v>0</v></c><c r="N20" s="158"><v>0</v></c><c r="O20" s="158"><v>0</v></c><c r="P20" s="158"><v>0</v></c><c r="Q20" s="158"><v>0</v></c><c r="R20" s="158"><v>0</v></c><c r="S20" s="158"><v>0</v></c><c r="T20" s="68"><f t="shared" si="3"/><v>0</v></c><c r="U20" s="68"><f t="shared" si="4"/><v>1660.8401072475297</v></c></row><row r="21" spans="1:21" s="21" customFormat="1" ht="15.75"><c r="A21" s="22"/><c r="B21" s="197" t="str"><f>Translation!A63</f><v>Cooking</v></c><c r="C21" s="158"><f>'BAU 2020'!C21*(1-ISEAP!$O$119)</f><v>1245.630080435647</v></c><c r="D21" s="158"><f>'BAU 2020'!D21*(1-ISEAP!$O$119)</f><v>0</v></c><c r="E21" s="158"><f>'BAU 2020'!E21*(1-ISEAP!$O$119)</f><v>0</v></c><c r="F21" s="68"><f t="shared" si="5"/><v>1245.630080435647</v></c><c r="G21" s="158"><f>'BAU 2020'!G21*(1-ISEAP!$O$119)</f><v>0</v></c><c r="H21" s="158"><f>'BAU 2020'!H21*(1-ISEAP!$O$119)</f><v>0</v></c><c r="I21" s="158"><f>'BAU 2020'!I21*(1-ISEAP!$O$119)</f><v>0</v></c><c r="J21" s="158"><f>'BAU 2020'!J21*(1-ISEAP!$O$119)</f><v>533.84146304384876</v></c><c r="K21" s="158"><f>'BAU 2020'!K21*(1-ISEAP!$O$119)</f><v>0</v></c><c r="L21" s="158"><f>'BAU 2020'!L21*(1-ISEAP!$O$119)</f><v>0</v></c><c r="M21" s="68"><f t="shared" si="1"/><v>533.84146304384876</v></c><c r="N21" s="158"><v>0</v></c><c r="O21" s="158"><v>0</v></c><c r="P21" s="158"><v>0</v></c><c r="Q21" s="158"><v>0</v></c><c r="R21" s="158"><v>0</v></c><c r="S21" s="158"><v>0</v></c><c r="T21" s="68"><f t="shared" si="3"/><v>0</v></c><c r="U21" s="68"><f t="shared" si="4"/><v>1779.4715434794957</v></c></row><row r="22" spans="1:21" s="21" customFormat="1" ht="15.75"><c r="A22" s="22"/><c r="B22" s="197" t="str"><f>Translation!A64</f><v>Refrigerator and freezers</v></c><c r="C22" s="158"><f>'BAU 2020'!C22*(1-ISEAP!$O$119)</f><v>0</v></c><c r="D22" s="158"><f>'BAU 2020'!D22*(1-ISEAP!$O$119)</f><v>0</v></c><c r="E22" s="158"><f>'BAU 2020'!E22*(1-ISEAP!$O$119)</f><v>0</v></c><c r="F22" s="68"><f t="shared" si="5"/><v>0</v></c><c r="G22" s="158"><f>'BAU 2020'!G22*(1-ISEAP!$O$119)</f><v>0</v></c><c r="H22" s="158"><f>'BAU 2020'!H22*(1-ISEAP!$O$119)</f><v>0</v></c><c r="I22" s="158"><f>'BAU 2020'!I22*(1-ISEAP!$O$119)</f><v>0</v></c><c r="J22" s="158"><f>'BAU 2020'!J22*(1-ISEAP!$O$119)</f><v>0</v></c><c r="K22" s="158"><f>'BAU 2020'!K22*(1-ISEAP!$O$119)</f><v>0</v></c><c r="L22" s="158"><f>'BAU 2020'!L22*(1-ISEAP!$O$119)</f><v>0</v></c><c r="M22" s="68"><f t="shared" si="1"/><v>0</v></c><c r="N22" s="158"><v>0</v></c><c r="O22" s="158"><v>0</v></c><c r="P22" s="158"><v>0</v></c><c r="Q22" s="158"><v>0</v></c><c r="R22" s="158"><v>0</v></c><c r="S22" s="158"><v>0</v></c><c r="T22" s="68"><f t="shared" si="3"/><v>0</v></c><c r="U22" s="68"><f t="shared" si="4"/><v>0</v></c></row><row r="23" spans="1:21" s="21" customFormat="1" ht="15.75"><c r="A23" s="22"/><c r="B23" s="197" t="str"><f>Translation!A65</f><v>Laundry machines and dryers</v></c><c r="C23" s="158"><f>'BAU 2020'!C23*(1-ISEAP!$O$119)</f><v>0</v></c><c r="D23" s="158"><f>'BAU 2020'!D23*(1-ISEAP!$O$119)</f><v>0</v></c><c r="E23" s="158"><f>'BAU 2020'!E23*(1-ISEAP!$O$119)</f><v>0</v></c><c r="F23" s="68"><f t="shared" si="5"/><v>0</v></c><c r="G23" s="158"><f>'BAU 2020'!G23*(1-ISEAP!$O$119)</f><v>0</v></c><c r="H23" s="158"><f>'BAU 2020'!H23*(1-ISEAP!$O$119)</f><v>0</v></c><c r="I23" s="158"><f>'BAU 2020'!I23*(1-ISEAP!$O$119)</f><v>0</v></c><c r="J23" s="158"><f>'BAU 2020'!J23*(1-ISEAP!$O$119)</f><v>0</v></c><c r="K23" s="158"><f>'BAU 2020'!K23*(1-ISEAP!$O$119)</f><v>0</v></c><c r="L23" s="158"><f>'BAU 2020'!L23*(1-ISEAP!$O$119)</f><v>0</v></c><c r="M23" s="68"><f t="shared" si="1"/><v>0</v></c><c r="N23" s="158"><v>0</v></c><c r="O23" s="158"><v>0</v></c><c r="P23" s="158"><v>0</v></c><c r="Q23" s="158"><v>0</v></c><c r="R23" s="158"><v>0</v></c><c r="S23" s="158"><v>0</v></c><c r="T23" s="68"><f t="shared" si="3"/><v>0</v></c><c r="U23" s="68"><f t="shared" si="4"/><v>0</v></c></row><row r="24" spans="1:21" s="21" customFormat="1" ht="15.75"><c r="A24" s="22"/><c r="B24" s="197" t="str"><f>Translation!A66</f><v>Dish washing</v></c><c r="C24" s="158"><f>'BAU 2020'!C24*(1-ISEAP!$O$119)</f><v>0</v></c><c r="D24" s="158"><f>'BAU 2020'!D24*(1-ISEAP!$O$119)</f><v>0</v></c><c r="E24" s="158"><f>'BAU 2020'!E24*(1-ISEAP!$O$119)</f><v>0</v></c><c r="F24" s="68"><f t="shared" si="5"/><v>0</v></c><c r="G24" s="158"><f>'BAU 2020'!G24*(1-ISEAP!$O$119)</f><v>0</v></c><c r="H24" s="158"><f>'BAU 2020'!H24*(1-ISEAP!$O$119)</f><v>0</v></c><c r="I24" s="158"><f>'BAU 2020'!I24*(1-ISEAP!$O$119)</f><v>0</v></c><c r="J24" s="158"><f>'BAU 2020'!J24*(1-ISEAP!$O$119)</f><v>0</v></c><c r="K24" s="158"><f>'BAU 2020'!K24*(1-ISEAP!$O$119)</f><v>0</v></c><c r="L24" s="158"><f>'BAU 2020'!L24*(1-ISEAP!$O$119)</f><v>0</v></c><c r="M24" s="68"><f t="shared" si="1"/><v>0</v></c><c r="N24" s="158"><v>0</v></c><c r="O24" s="158"><v>0</v></c><c r="P24" s="158"><v>0</v></c><c r="Q24" s="158"><v>0</v></c><c r="R24" s="158"><v>0</v></c><c r="S24" s="158"><v>0</v></c><c r="T24" s="68"><f t="shared" si="3"/><v>0</v></c><c r="U24" s="68"><f t="shared" si="4"/><v>0</v></c></row><row r="25" spans="1:21" s="21" customFormat="1" ht="15.75"><c r="A25" s="22"/><c r="B25" s="197" t="str"><f>Translation!A67</f><v>Tv sets</v></c><c r="C25" s="158"><f>'BAU 2020'!C25*(1-ISEAP!$O$119)</f><v>0</v></c><c r="D25" s="158"><f>'BAU 2020'!D25*(1-ISEAP!$O$119)</f><v>0</v></c><c r="E25" s="158"><f>'BAU 2020'!E25*(1-ISEAP!$O$119)</f><v>0</v></c><c r="F25" s="68"><f t="shared" si="5"/><v>0</v></c><c r="G25" s="158"><f>'BAU 2020'!G25*(1-ISEAP!$O$119)</f><v>0</v></c><c r="H25" s="158"><f>'BAU 2020'!H25*(1-ISEAP!$O$119)</f><v>0</v></c><c r="I25" s="158"><f>'BAU 2020'!I25*(1-ISEAP!$O$119)</f><v>0</v></c><c r="J25" s="158"><f>'BAU 2020'!J25*(1-ISEAP!$O$119)</f><v>0</v></c><c r="K25" s="158"><f>'BAU 2020'!K25*(1-ISEAP!$O$119)</f><v>0</v></c><c r="L25" s="158"><f>'BAU 2020'!L25*(1-ISEAP!$O$119)</f><v>0</v></c><c r="M25" s="68"><f t="shared" si="1"/><v>0</v></c><c r="N25" s="158"><v>0</v></c><c r="O25" s="158"><v>0</v></c><c r="P25" s="158"><v>0</v></c><c r="Q25" s="158"><v>0</v></c><c r="R25" s="158"><v>0</v></c><c r="S25" s="158"><v>0</v></c><c r="T25" s="68"><f t="shared" si="3"/><v>0</v></c><c r="U25" s="68"><f t="shared" si="4"/><v>0</v></c></row><row r="26" spans="1:21" s="21" customFormat="1" ht="15.75"><c r="A26" s="22"/><c r="B26" s="197" t="str"><f>Translation!A68</f><v>Other electric appliances</v></c><c r="C26" s="158"><f>'BAU 2020'!C26*(1-ISEAP!$O$119)</f><v>7473.7804826138872</v></c><c r="D26" s="158"><f>'BAU 2020'!D26*(1-ISEAP!$O$119)</f><v>0</v></c><c r="E26" s="158"><f>'BAU 2020'!E26*(1-ISEAP!$O$119)</f><v>0</v></c><c r="F26" s="68"><f t="shared" si="5"/><v>7473.7804826138872</v></c><c r="G26" s="158"><f>'BAU 2020'!G26*(1-ISEAP!$O$119)</f><v>0</v></c><c r="H26" s="158"><f>'BAU 2020'!H26*(1-ISEAP!$O$119)</f><v>0</v></c><c r="I26" s="158"><f>'BAU 2020'!I26*(1-ISEAP!$O$119)</f><v>0</v></c><c r="J26" s="158"><f>'BAU 2020'!J26*(1-ISEAP!$O$119)</f><v>0</v></c><c r="K26" s="158"><f>'BAU 2020'!K26*(1-ISEAP!$O$119)</f><v>0</v></c><c r="L26" s="158"><f>'BAU 2020'!L26*(1-ISEAP!$O$119)</f><v>0</v></c><c r="M26" s="68"><f t="shared" si="1"/><v>0</v></c><c r="N26" s="158"><v>0</v></c><c r="O26" s="158"><v>0</v></c><c r="P26" s="158"><v>0</v></c><c r="Q26" s="158"><v>0</v></c><c r="R26" s="158"><v>0</v></c><c r="S26" s="158"><v>0</v></c><c r="T26" s="68"><f t="shared" si="3"/><v>0</v></c><c r="U26" s="68"><f t="shared" si="4"/><v>7473.7804826138872</v></c></row><row r="27" spans="1:21" s="21" customFormat="1" ht="15.75"><c r="A27" s="22"/><c r="B27" s="70" t="str"><f>Translation!A69</f><v>PRIMARY SECTOR</v></c><c r="C27" s="124"><f>SUM(C28:C29)</f><v>2157.431382322507</v></c><c r="D27" s="124"><f>SUM(D28:D29)</f><v>0</v></c><c r="E27" s="124"><f>SUM(E28:E29)</f><v>0</v></c><c r="F27" s="68"><f t="shared" si="5"/><v>2157.431382322507</v></c><c r="G27" s="124"><f t="shared" ref="G27:L27" si="6">SUM(G28:G29)</f><v>323.87159568990012</v></c><c r="H27" s="124"><f t="shared" si="6"/><v>0</v></c><c r="I27" s="124"><f t="shared" si="6"/><v>0</v></c><c r="J27" s="124"><f t="shared" si="6"/><v>184.96477254954934</v></c><c r="K27" s="124"><f t="shared" si="6"/><v>0</v></c><c r="L27" s="124"><f t="shared" si="6"/><v>0</v></c><c r="M27" s="68"><f t="shared" si="1"/><v>508.83636823944948</v></c><c r="N27" s="124"><f t="shared" ref="N27:S27" si="7">SUM(N28:N29)</f><v>0</v></c><c r="O27" s="124"><f t="shared" si="7"/><v>314.90079787230366</v></c><c r="P27" s="124"><f t="shared" si="7"/><v>0</v></c><c r="Q27" s="124"><f t="shared" si="7"/><v>0</v></c><c r="R27" s="124"><f t="shared" si="7"/><v>0</v></c><c r="S27" s="124"><f t="shared" si="7"/><v>1053.6055862144162</v></c><c r="T27" s="68"><f t="shared" si="3"/><v>1368.5063840867199</v></c><c r="U27" s="68"><f t="shared" si="4"/><v>4034.7741346486764</v></c></row><row r="28" spans="1:21" s="21" customFormat="1" ht="15.75"><c r="A28" s="22"/><c r="B28" s="198" t="str"><f>Translation!A70</f><v>Agriculture, forestry and fishing</v></c><c r="C28" s="158"><f>'BAU 2020'!C28*(1-ISEAP!$O$119)</f><v>2157.431382322507</v></c><c r="D28" s="158"><f>'BAU 2020'!D28*(1-ISEAP!$O$119)</f><v>0</v></c><c r="E28" s="158"><f>'BAU 2020'!E28*(1-ISEAP!$O$119)</f><v>0</v></c><c r="F28" s="68"><f t="shared" si="5"/><v>2157.431382322507</v></c><c r="G28" s="158"><f>'BAU 2020'!G28*(1-ISEAP!$O$119)</f><v>323.87159568990012</v></c><c r="H28" s="158"><f>'BAU 2020'!H28*(1-ISEAP!$O$119)</f><v>0</v></c><c r="I28" s="158"><f>'BAU 2020'!I28*(1-ISEAP!$O$119)</f><v>0</v></c><c r="J28" s="158"><f>'BAU 2020'!J28*(1-ISEAP!$O$119)</f><v>184.96477254954934</v></c><c r="K28" s="158"><f>'BAU 2020'!K28*(1-ISEAP!$O$119)</f><v>0</v></c><c r="L28" s="158"><f>'BAU 2020'!L28*(1-ISEAP!$O$119)</f><v>0</v></c><c r="M28" s="68"><f t="shared" si="1"/><v>508.83636823944948</v></c><c r="N28" s="158"><v>0</v></c><c r="O28" s="158"><v>314.90079787230366</v></c><c r="P28" s="158"><v>0</v></c><c r="Q28" s="158"><v>0</v></c><c r="R28" s="158"><v>0</v></c><c r="S28" s="158"><v>1053.6055862144162</v></c><c r="T28" s="68"><f t="shared" si="3"/><v>1368.5063840867199</v></c><c r="U28" s="68"><f t="shared" si="4"/><v>4034.7741346486764</v></c></row><row r="29" spans="1:21" s="21" customFormat="1" ht="15.75"><c r="A29" s="22"/><c r="B29" s="198" t="str"><f>Translation!A71</f><v>Mining and quarrying</v></c><c r="C29" s="158"><f>'BAU 2020'!C29*(1-ISEAP!$O$119)</f><v>0</v></c><c r="D29" s="158"><f>'BAU 2020'!D29*(1-ISEAP!$O$119)</f><v>0</v></c><c r="E29" s="158"><f>'BAU 2020'!E29*(1-ISEAP!$O$119)</f><v>0</v></c><c r="F29" s="68"><f t="shared" si="5"/><v>0</v></c><c r="G29" s="158"><f>'BAU 2020'!G29*(1-ISEAP!$O$119)</f><v>0</v></c><c r="H29" s="158"><f>'BAU 2020'!H29*(1-ISEAP!$O$119)</f><v>0</v></c><c r="I29" s="158"><f>'BAU 2020'!I29*(1-ISEAP!$O$119)</f><v>0</v></c><c r="J29" s="158"><f>'BAU 2020'!J29*(1-ISEAP!$O$119)</f><v>0</v></c><c r="K29" s="158"><f>'BAU 2020'!K29*(1-ISEAP!$O$119)</f><v>0</v></c><c r="L29" s="158"><f>'BAU 2020'!L29*(1-ISEAP!$O$119)</f><v>0</v></c><c r="M29" s="68"><f t="shared" si="1"/><v>0</v></c><c r="N29" s="158"><v>0</v></c><c r="O29" s="158"><v>0</v></c><c r="P29" s="158"><v>0</v></c><c r="Q29" s="158"><v>0</v></c><c r="R29" s="158"><v>0</v></c><c r="S29" s="158"><v>0</v></c><c r="T29" s="68"><f t="shared" si="3"/><v>0</v></c><c r="U29" s="68"><f t="shared" si="4"/><v>0</v></c></row><row r="30" spans="1:21" s="21" customFormat="1" ht="15.75"><c r="A30" s="22"/><c r="B30" s="65" t="str"><f>Translation!A72</f><v>SECONDARY SECTOR</v></c><c r="C30" s="124"><f>SUM(C31:C33)</f><v>6565.7321377059261</v></c><c r="D30" s="124"><f>SUM(D31:D33)</f><v>0</v></c><c r="E30" s="124"><f>SUM(E31:E33)</f><v>0</v></c><c r="F30" s="68"><f t="shared" si="5"/><v>6565.7321377059261</v></c><c r="G30" s="124"><f t="shared" ref="G30:L30" si="8">SUM(G31:G33)</f><v>985.64161147137725</v></c><c r="H30" s="124"><f t="shared" si="8"/><v>0</v></c><c r="I30" s="124"><f t="shared" si="8"/><v>0</v></c><c r="J30" s="124"><f t="shared" si="8"/><v>562.90511087527238</v></c><c r="K30" s="124"><f t="shared" si="8"/><v>0</v></c><c r="L30" s="124"><f t="shared" si="8"/><v>0</v></c><c r="M30" s="68"><f t="shared" si="1"/><v>1548.5467223466496</v></c><c r="N30" s="124"><f t="shared" ref="N30:S30" si="9">SUM(N31:N33)</f><v>0</v></c><c r="O30" s="124"><f t="shared" si="9"/><v>0</v></c><c r="P30" s="124"><f t="shared" si="9"/><v>157.68194364046977</v></c><c r="Q30" s="124"><f t="shared" si="9"/><v>0</v></c><c r="R30" s="124"><f t="shared" si="9"/><v>0</v></c><c r="S30" s="124"><f t="shared" si="9"/><v>52.560647880156587</v></c><c r="T30" s="68"><f t="shared" si="3"/><v>210.24259152062635</v></c><c r="U30" s="68"><f t="shared" si="4"/><v>8324.5214515732023</v></c></row><row r="31" spans="1:21" s="21" customFormat="1" ht="15.75"><c r="A31" s="22"/><c r="B31" s="79" t="str"><f>Translation!A73</f><v>Manufacturing</v></c><c r="C31" s="158"><f>'BAU 2020'!C31*(1-ISEAP!$O$119)</f><v>2928.1729374422075</v></c><c r="D31" s="158"><f>'BAU 2020'!D31*(1-ISEAP!$O$119)</f><v>0</v></c><c r="E31" s="158"><f>'BAU 2020'!E31*(1-ISEAP!$O$119)</f><v>0</v></c><c r="F31" s="68"><f t="shared" si="5"/><v>2928.1729374422075</v></c><c r="G31" s="158"><f>'BAU 2020'!G31*(1-ISEAP!$O$119)</f><v>439.57460222186734</v></c><c r="H31" s="158"><f>'BAU 2020'!H31*(1-ISEAP!$O$119)</f><v>0</v></c><c r="I31" s="158"><f>'BAU 2020'!I31*(1-ISEAP!$O$119)</f><v>0</v></c><c r="J31" s="158"><f>'BAU 2020'!J31*(1-ISEAP!$O$119)</f><v>251.04336842300572</v></c><c r="K31" s="158"><f>'BAU 2020'!K31*(1-ISEAP!$O$119)</f><v>0</v></c><c r="L31" s="158"><f>'BAU 2020'!L31*(1-ISEAP!$O$119)</f><v>0</v></c><c r="M31" s="68"><f t="shared" si="1"/><v>690.61797064487303</v></c><c r="N31" s="158"><v>0</v></c><c r="O31" s="158"><v>0</v></c><c r="P31" s="158"><v>157.68194364046977</v></c><c r="Q31" s="158"><v>0</v></c><c r="R31" s="158"><v>0</v></c><c r="S31" s="158"><v>52.560647880156587</v></c><c r="T31" s="68"><f t="shared" si="3"/><v>210.24259152062635</v></c><c r="U31" s="68"><f t="shared" si="4"/><v>3829.0334996077067</v></c></row><row r="32" spans="1:21" s="21" customFormat="1" ht="30"><c r="A32" s="22"/><c r="B32" s="198" t="str"><f>Translation!A74</f><v>Water supply, sewerage, waste management and remediation activities</v></c><c r="C32" s="158"><f>'BAU 2020'!C32*(1-ISEAP!$O$119)</f><v>3100.9372912158051</v></c><c r="D32" s="158"><f>'BAU 2020'!D32*(1-ISEAP!$O$119)</f><v>0</v></c><c r="E32" s="158"><f>'BAU 2020'!E32*(1-ISEAP!$O$119)</f><v>0</v></c><c r="F32" s="68"><f t="shared" si="5"/><v>3100.9372912158051</v></c><c r="G32" s="158"><f>'BAU 2020'!G32*(1-ISEAP!$O$119)</f><v>465.50982657869253</v></c><c r="H32" s="158"><f>'BAU 2020'!H32*(1-ISEAP!$O$119)</f><v>0</v></c><c r="I32" s="158"><f>'BAU 2020'!I32*(1-ISEAP!$O$119)</f><v>0</v></c><c r="J32" s="158"><f>'BAU 2020'!J32*(1-ISEAP!$O$119)</f><v>265.85511152743902</v></c><c r="K32" s="158"><f>'BAU 2020'!K32*(1-ISEAP!$O$119)</f><v>0</v></c><c r="L32" s="158"><f>'BAU 2020'!L32*(1-ISEAP!$O$119)</f><v>0</v></c><c r="M32" s="68"><f t="shared" si="1"/><v>731.3649381061316</v></c><c r="N32" s="158"><v>0</v></c><c r="O32" s="158"><v>0</v></c><c r="P32" s="158"><v>0</v></c><c r="Q32" s="158"><v>0</v></c><c r="R32" s="158"><v>0</v></c><c r="S32" s="158"><v>0</v></c><c r="T32" s="68"><f t="shared" si="3"/><v>0</v></c><c r="U32" s="68"><f t="shared" si="4"/><v>3832.3022293219365</v></c></row><row r="33" spans="1:21" s="21" customFormat="1" ht="15.75"><c r="A33" s="22"/><c r="B33" s="198" t="str"><f>Translation!A75</f><v>Construction</v></c><c r="C33" s="158"><f>'BAU 2020'!C33*(1-ISEAP!$O$119)</f><v>536.62190904791339</v></c><c r="D33" s="158"><f>'BAU 2020'!D33*(1-ISEAP!$O$119)</f><v>0</v></c><c r="E33" s="158"><f>'BAU 2020'!E33*(1-ISEAP!$O$119)</f><v>0</v></c><c r="F33" s="68"><f t="shared" si="5"/><v>536.62190904791339</v></c><c r="G33" s="158"><f>'BAU 2020'!G33*(1-ISEAP!$O$119)</f><v>80.55718267081734</v></c><c r="H33" s="158"><f>'BAU 2020'!H33*(1-ISEAP!$O$119)</f><v>0</v></c><c r="I33" s="158"><f>'BAU 2020'!I33*(1-ISEAP!$O$119)</f><v>0</v></c><c r="J33" s="158"><f>'BAU 2020'!J33*(1-ISEAP!$O$119)</f><v>46.006630924827626</v></c><c r="K33" s="158"><f>'BAU 2020'!K33*(1-ISEAP!$O$119)</f><v>0</v></c><c r="L33" s="158"><f>'BAU 2020'!L33*(1-ISEAP!$O$119)</f><v>0</v></c><c r="M33" s="68"><f t="shared" si="1"/><v>126.56381359564497</v></c><c r="N33" s="158"><v>0</v></c><c r="O33" s="158"><v>0</v></c><c r="P33" s="158"><v>0</v></c><c r="Q33" s="158"><v>0</v></c><c r="R33" s="158"><v>0</v></c><c r="S33" s="158"><v>0</v></c><c r="T33" s="68"><f t="shared" si="3"/><v>0</v></c><c r="U33" s="68"><f t="shared" si="4"/><v>663.18572264355839</v></c></row><row r="34" spans="1:21" s="21" customFormat="1" ht="15.75"><c r="A34" s="22"/><c r="B34" s="65" t="str"><f>Translation!A76</f><v>TERTIARY SECTOR</v></c><c r="C34" s="124"><f>SUM(C35:C42)</f><v>102347.61754560121</v></c><c r="D34" s="124"><f>SUM(D35:D42)</f><v>0</v></c><c r="E34" s="124"><f>SUM(E35:E42)</f><v>0</v></c><c r="F34" s="68"><f t="shared" si="5"/><v>102347.61754560121</v></c><c r="G34" s="124"><f t="shared" ref="G34:L34" si="10">SUM(G35:G42)</f><v>14977.441197236893</v></c><c r="H34" s="124"><f t="shared" si="10"/><v>0</v></c><c r="I34" s="124"><f t="shared" si="10"/><v>0</v></c><c r="J34" s="124"><f t="shared" si="10"/><v>8553.6954808277533</v></c><c r="K34" s="124"><f t="shared" si="10"/><v>0</v></c><c r="L34" s="124"><f t="shared" si="10"/><v>0</v></c><c r="M34" s="68"><f t="shared" si="1"/><v>23531.136678064646</v></c><c r="N34" s="124"><f t="shared" ref="N34:S34" si="11">SUM(N35:N42)</f><v>0</v></c><c r="O34" s="124"><f t="shared" si="11"/><v>0</v></c><c r="P34" s="124"><f t="shared" si="11"/><v>5219.1270450588272</v></c><c r="Q34" s="124"><f t="shared" si="11"/><v>0</v></c><c r="R34" s="124"><f t="shared" si="11"/><v>0</v></c><c r="S34" s="124"><f t="shared" si="11"/><v>1739.7090150196091</v></c><c r="T34" s="68"><f t="shared" si="3"/><v>6958.8360600784363</v></c><c r="U34" s="68"><f t="shared" si="4"/><v>132837.5902837443</v></c></row><row r="35" spans="1:21" s="21" customFormat="1" ht="30"><c r="A35" s="22"/><c r="B35" s="198" t="str"><f>Translation!A77</f><v xml:space="preserve">Wholesale and retail trade; repair of motor vehicles and motorcycles </v></c><c r="C35" s="158"><f>'BAU 2020'!C35*(1-ISEAP!$O$119)</f><v>18051.989493441601</v></c><c r="D35" s="158"><f>'BAU 2020'!D35*(1-ISEAP!$O$119)</f><v>0</v></c><c r="E35" s="158"><f>'BAU 2020'!E35*(1-ISEAP!$O$119)</f><v>0</v></c><c r="F35" s="68"><f t="shared" si="5"/><v>18051.989493441601</v></c><c r="G35" s="158"><f>'BAU 2020'!G35*(1-ISEAP!$O$119)</f><v>2709.9478993970911</v></c><c r="H35" s="158"><f>'BAU 2020'!H35*(1-ISEAP!$O$119)</f><v>0</v></c><c r="I35" s="158"><f>'BAU 2020'!I35*(1-ISEAP!$O$119)</f><v>0</v></c><c r="J35" s="158"><f>'BAU 2020'!J35*(1-ISEAP!$O$119)</f><v>1547.6655054154335</v></c><c r="K35" s="158"><f>'BAU 2020'!K35*(1-ISEAP!$O$119)</f><v>0</v></c><c r="L35" s="158"><f>'BAU 2020'!L35*(1-ISEAP!$O$119)</f><v>0</v></c><c r="M35" s="68"><f t="shared" si="1"/><v>4257.6134048125241</v></c><c r="N35" s="223"><v>0</v></c><c r="O35" s="223"><v>0</v></c><c r="P35" s="223"><v>944.32434660821718</v></c><c r="Q35" s="223"><v>0</v></c><c r="R35" s="223"><v>0</v></c><c r="S35" s="223"><v>314.77478220273906</v></c><c r="T35" s="68"><f t="shared" si="3"/><v>1259.0991288109562</v></c><c r="U35" s="68"><f t="shared" si="4"/><v>23568.702027065083</v></c></row><row r="36" spans="1:21" s="21" customFormat="1" ht="15.75"><c r="A36" s="22"/><c r="B36" s="198" t="str"><f>Translation!A78</f><v>Accomodation and food service activities</v></c><c r="C36" s="158"><f>'BAU 2020'!C36*(1-ISEAP!$O$119)</f><v>64314.890573693949</v></c><c r="D36" s="158"><f>'BAU 2020'!D36*(1-ISEAP!$O$119)</f><v>0</v></c><c r="E36" s="158"><f>'BAU 2020'!E36*(1-ISEAP!$O$119)</f><v>0</v></c><c r="F36" s="68"><f t="shared" si="5"/><v>64314.890573693949</v></c><c r="G36" s="158"><f>'BAU 2020'!G36*(1-ISEAP!$O$119)</f><v>9654.8916491147047</v></c><c r="H36" s="158"><f>'BAU 2020'!H36*(1-ISEAP!$O$119)</f><v>0</v></c><c r="I36" s="158"><f>'BAU 2020'!I36*(1-ISEAP!$O$119)</f><v>0</v></c><c r="J36" s="158"><f>'BAU 2020'!J36*(1-ISEAP!$O$119)</f><v>5513.9594260032709</v></c><c r="K36" s="158"><f>'BAU 2020'!K36*(1-ISEAP!$O$119)</f><v>0</v></c><c r="L36" s="158"><f>'BAU 2020'!L36*(1-ISEAP!$O$119)</f><v>0</v></c><c r="M36" s="68"><f t="shared" si="1"/><v>15168.851075117975</v></c><c r="N36" s="223"><v>0</v></c><c r="O36" s="223"><v>0</v></c><c r="P36" s="223"><v>3364.4001975653482</v></c><c r="Q36" s="223"><v>0</v></c><c r="R36" s="223"><v>0</v></c><c r="S36" s="223"><v>1121.4667325217824</v></c><c r="T36" s="68"><f t="shared" si="3"/><v>4485.8669300871306</v></c><c r="U36" s="68"><f t="shared" si="4"/><v>83969.608578899046</v></c></row><row r="37" spans="1:21" s="21" customFormat="1" ht="15.75"><c r="A37" s="22"/><c r="B37" s="198" t="str"><f>Translation!A79</f><v>General public administration and social security</v></c><c r="C37" s="158"><f>'BAU 2020'!C37*(1-ISEAP!$O$119)</f><v>993.55463945402209</v></c><c r="D37" s="158"><f>'BAU 2020'!D37*(1-ISEAP!$O$119)</f><v>0</v></c><c r="E37" s="158"><f>'BAU 2020'!E37*(1-ISEAP!$O$119)</f><v>0</v></c><c r="F37" s="68"><f t="shared" si="5"/><v>993.55463945402209</v></c><c r="G37" s="158"><f>'BAU 2020'!G37*(1-ISEAP!$O$119)</f><v>149.15149984453828</v></c><c r="H37" s="158"><f>'BAU 2020'!H37*(1-ISEAP!$O$119)</f><v>0</v></c><c r="I37" s="158"><f>'BAU 2020'!I37*(1-ISEAP!$O$119)</f><v>0</v></c><c r="J37" s="158"><f>'BAU 2020'!J37*(1-ISEAP!$O$119)</f><v>85.18120641423539</v></c><c r="K37" s="158"><f>'BAU 2020'!K37*(1-ISEAP!$O$119)</f><v>0</v></c><c r="L37" s="158"><f>'BAU 2020'!L37*(1-ISEAP!$O$119)</f><v>0</v></c><c r="M37" s="68"><f t="shared" si="1"/><v>234.33270625877367</v></c><c r="N37" s="223"><v>0</v></c><c r="O37" s="223"><v>0</v></c><c r="P37" s="223"><v>51.974206835365692</v></c><c r="Q37" s="223"><v>0</v></c><c r="R37" s="223"><v>0</v></c><c r="S37" s="223"><v>17.324735611788562</v></c><c r="T37" s="68"><f t="shared" si="3"/><v>69.298942447154246</v></c><c r="U37" s="68"><f t="shared" si="4"/><v>1297.18628815995</v></c></row><row r="38" spans="1:21" s="21" customFormat="1" ht="15.75"><c r="A38" s="22"/><c r="B38" s="198" t="str"><f>Translation!A80</f><v>Defense, justice, police and fire departments</v></c><c r="C38" s="158"><f>'BAU 2020'!C38*(1-ISEAP!$O$119)</f><v>141.59365406019782</v></c><c r="D38" s="158"><f>'BAU 2020'!D38*(1-ISEAP!$O$119)</f><v>0</v></c><c r="E38" s="158"><f>'BAU 2020'!E38*(1-ISEAP!$O$119)</f><v>0</v></c><c r="F38" s="68"><f t="shared" si="5"/><v>141.59365406019782</v></c><c r="G38" s="158"><f>'BAU 2020'!G38*(1-ISEAP!$O$119)</f><v>21.255907861446317</v></c><c r="H38" s="158"><f>'BAU 2020'!H38*(1-ISEAP!$O$119)</f><v>0</v></c><c r="I38" s="158"><f>'BAU 2020'!I38*(1-ISEAP!$O$119)</f><v>0</v></c><c r="J38" s="158"><f>'BAU 2020'!J38*(1-ISEAP!$O$119)</f><v>12.139360830799781</v></c><c r="K38" s="158"><f>'BAU 2020'!K38*(1-ISEAP!$O$119)</f><v>0</v></c><c r="L38" s="158"><f>'BAU 2020'!L38*(1-ISEAP!$O$119)</f><v>0</v></c><c r="M38" s="68"><f t="shared" si="1"/><v>33.395268692246098</v></c><c r="N38" s="223"><v>0</v></c><c r="O38" s="223"><v>0</v></c><c r="P38" s="223"><v>7.4069583800081444</v></c><c r="Q38" s="223"><v>0</v></c><c r="R38" s="223"><v>0</v></c><c r="S38" s="223"><v>2.4689861266693813</v></c><c r="T38" s="68"><f t="shared" si="3"/><v>9.8759445066775253</v></c><c r="U38" s="68"><f t="shared" si="4"/><v>184.86486725912144</v></c></row><row r="39" spans="1:21" s="21" customFormat="1" ht="15.75"><c r="A39" s="22"/><c r="B39" s="198" t="str"><f>Translation!A81</f><v>Education</v></c><c r="C39" s="158"><f>'BAU 2020'!C39*(1-ISEAP!$O$119)</f><v>1313.5929991021937</v></c><c r="D39" s="158"><f>'BAU 2020'!D39*(1-ISEAP!$O$119)</f><v>0</v></c><c r="E39" s="158"><f>'BAU 2020'!E39*(1-ISEAP!$O$119)</f><v>0</v></c><c r="F39" s="68"><f t="shared" si="5"/><v>1313.5929991021937</v></c><c r="G39" s="158"><f>'BAU 2020'!G39*(1-ISEAP!$O$119)</f><v>197.19536120232084</v></c><c r="H39" s="158"><f>'BAU 2020'!H39*(1-ISEAP!$O$119)</f><v>0</v></c><c r="I39" s="158"><f>'BAU 2020'!I39*(1-ISEAP!$O$119)</f><v>0</v></c><c r="J39" s="158"><f>'BAU 2020'!J39*(1-ISEAP!$O$119)</f><v>112.61930844820593</v></c><c r="K39" s="158"><f>'BAU 2020'!K39*(1-ISEAP!$O$119)</f><v>0</v></c><c r="L39" s="158"><f>'BAU 2020'!L39*(1-ISEAP!$O$119)</f><v>0</v></c><c r="M39" s="68"><f t="shared" si="1"/><v>309.81466965052675</v></c><c r="N39" s="223"><v>0</v></c><c r="O39" s="223"><v>0</v></c><c r="P39" s="223"><v>68.715852678563408</v></c><c r="Q39" s="223"><v>0</v></c><c r="R39" s="223"><v>0</v></c><c r="S39" s="223"><v>22.90528422618781</v></c><c r="T39" s="68"><f t="shared" si="3"/><v>91.621136904751211</v></c><c r="U39" s="68"><f t="shared" si="4"/><v>1715.0288056574716</v></c></row><row r="40" spans="1:21" s="21" customFormat="1" ht="15.75"><c r="A40" s="22"/><c r="B40" s="198" t="str"><f>Translation!A82</f><v>Human health and social work activities</v></c><c r="C40" s="158"><f>'BAU 2020'!C40*(1-ISEAP!$O$119)</f><v>6048.799408701113</v></c><c r="D40" s="158"><f>'BAU 2020'!D40*(1-ISEAP!$O$119)</f><v>0</v></c><c r="E40" s="158"><f>'BAU 2020'!E40*(1-ISEAP!$O$119)</f><v>0</v></c><c r="F40" s="68"><f t="shared" si="5"/><v>6048.799408701113</v></c><c r="G40" s="158"><f>'BAU 2020'!G40*(1-ISEAP!$O$119)</f><v>908.04015022495116</v></c><c r="H40" s="158"><f>'BAU 2020'!H40*(1-ISEAP!$O$119)</f><v>0</v></c><c r="I40" s="158"><f>'BAU 2020'!I40*(1-ISEAP!$O$119)</f><v>0</v></c><c r="J40" s="158"><f>'BAU 2020'!J40*(1-ISEAP!$O$119)</f><v>518.58650800927398</v></c><c r="K40" s="158"><f>'BAU 2020'!K40*(1-ISEAP!$O$119)</f><v>0</v></c><c r="L40" s="158"><f>'BAU 2020'!L40*(1-ISEAP!$O$119)</f><v>0</v></c><c r="M40" s="68"><f t="shared" si="1"/><v>1426.626658234225</v></c><c r="N40" s="223"><v>0</v></c><c r="O40" s="223"><v>0</v></c><c r="P40" s="223"><v>316.42099899631916</v></c><c r="Q40" s="223"><v>0</v></c><c r="R40" s="223"><v>0</v></c><c r="S40" s="223"><v>105.47366633210636</v></c><c r="T40" s="68"><f t="shared" si="3"/><v>421.8946653284255</v></c><c r="U40" s="68"><f t="shared" si="4"/><v>7897.3207322637636</v></c></row><row r="41" spans="1:21" s="21" customFormat="1" ht="15.75"><c r="A41" s="22"/><c r="B41" s="198" t="str"><f>Translation!A83</f><v>Other services</v></c><c r="C41" s="158"><f>'BAU 2020'!C41*(1-ISEAP!$O$119)</f><v>8905.9885413761695</v></c><c r="D41" s="158"><f>'BAU 2020'!D41*(1-ISEAP!$O$119)</f><v>0</v></c><c r="E41" s="158"><f>'BAU 2020'!E41*(1-ISEAP!$O$119)</f><v>0</v></c><c r="F41" s="68"><f t="shared" si="5"/><v>8905.9885413761695</v></c><c r="G41" s="158"><f>'BAU 2020'!G41*(1-ISEAP!$O$119)</f><v>1336.9587295918398</v></c><c r="H41" s="158"><f>'BAU 2020'!H41*(1-ISEAP!$O$119)</f><v>0</v></c><c r="I41" s="158"><f>'BAU 2020'!I41*(1-ISEAP!$O$119)</f><v>0</v></c><c r="J41" s="158"><f>'BAU 2020'!J41*(1-ISEAP!$O$119)</f><v>763.5441657065353</v></c><c r="K41" s="158"><f>'BAU 2020'!K41*(1-ISEAP!$O$119)</f><v>0</v></c><c r="L41" s="158"><f>'BAU 2020'!L41*(1-ISEAP!$O$119)</f><v>0</v></c><c r="M41" s="68"><f t="shared" si="1"/><v>2100.5028952983748</v></c><c r="N41" s="223"><v>0</v></c><c r="O41" s="223"><v>0</v></c><c r="P41" s="223"><v>465.88448399500652</v></c><c r="Q41" s="223"><v>0</v></c><c r="R41" s="223"><v>0</v></c><c r="S41" s="223"><v>155.29482799833551</v></c><c r="T41" s="68"><f t="shared" si="3"/><v>621.17931199334203</v></c><c r="U41" s="68"><f t="shared" si="4"/><v>11627.670748667886</v></c></row><row r="42" spans="1:21" s="21" customFormat="1" ht="15.75"><c r="A42" s="22"/><c r="B42" s="198" t="str"><f>Translation!A84</f><v>Public lighting</v></c><c r="C42" s="158"><f>'BAU 2020'!C42*(1-ISEAP!$O$119)</f><v>2577.2082357719464</v></c><c r="D42" s="158"><f>'BAU 2020'!D42*(1-ISEAP!$O$119)</f><v>0</v></c><c r="E42" s="158"><f>'BAU 2020'!E42*(1-ISEAP!$O$119)</f><v>0</v></c><c r="F42" s="68"><f t="shared" si="5"/><v>2577.2082357719464</v></c><c r="G42" s="158"><f>'BAU 2020'!G42*(1-ISEAP!$O$119)</f><v>0</v></c><c r="H42" s="158"><f>'BAU 2020'!H42*(1-ISEAP!$O$119)</f><v>0</v></c><c r="I42" s="158"><f>'BAU 2020'!I42*(1-ISEAP!$O$119)</f><v>0</v></c><c r="J42" s="158"><f>'BAU 2020'!J42*(1-ISEAP!$O$119)</f><v>0</v></c><c r="K42" s="158"><f>'BAU 2020'!K42*(1-ISEAP!$O$119)</f><v>0</v></c><c r="L42" s="158"><f>'BAU 2020'!L42*(1-ISEAP!$O$119)</f><v>0</v></c><c r="M42" s="68"><f t="shared" si="1"/><v>0</v></c><c r="N42" s="223"><v>0</v></c><c r="O42" s="223"><v>0</v></c><c r="P42" s="223"><v>0</v></c><c r="Q42" s="223"><v>0</v></c><c r="R42" s="223"><v>0</v></c><c r="S42" s="223"><v>0</v></c><c r="T42" s="68"><f t="shared" si="3"/><v>0</v></c><c r="U42" s="68"><f t="shared" si="4"/><v>2577.2082357719464</v></c></row><row r="43" spans="1:21" s="21" customFormat="1" ht="15.75"><c r="A43" s="22"/><c r="B43" s="65" t="str"><f>Translation!A85</f><v>TRANSPORTS</v></c><c r="C43" s="124"><f>SUM(C44:C47)</f><v>29.541122070113222</v></c><c r="D43" s="124"><f>SUM(D44:D47)</f><v>0</v></c><c r="E43" s="124"><f>SUM(E44:E47)</f><v>0</v></c><c r="F43" s="68"><f t="shared" si="5"/><v>29.541122070113222</v></c><c r="G43" s="124"><f t="shared" ref="G43:J43" si="12">SUM(G44:G47)</f><v>0</v></c><c r="H43" s="124"><f t="shared" si="12"/><v>104979.25138754943</v></c><c r="I43" s="124"><f t="shared" si="12"/><v>135756.1211471133</v></c><c r="J43" s="124"><f t="shared" si="12"/><v>0</v></c><c r="K43" s="124"><f>SUM(K44:K47)</f><v>0</v></c><c r="L43" s="124"><f t="shared" ref="L43" si="13">SUM(L44:L47)</f><v>0</v></c><c r="M43" s="68"><f t="shared" si="1"/><v>240735.37253466272</v></c><c r="N43" s="124"><f t="shared" ref="N43:S43" si="14">SUM(N44:N47)</f><v>0</v></c><c r="O43" s="124"><f t="shared" si="14"/><v>0</v></c><c r="P43" s="124"><f t="shared" si="14"/><v>0</v></c><c r="Q43" s="124"><f t="shared" si="14"/><v>0</v></c><c r="R43" s="124"><f t="shared" si="14"/><v>0</v></c><c r="S43" s="124"><f t="shared" si="14"/><v>5876.8256141448428</v></c><c r="T43" s="68"><f t="shared" si="3"/><v>5876.8256141448428</v></c><c r="U43" s="68"><f t="shared" si="4"/><v>246641.73927087768</v></c></row><row r="44" spans="1:21" s="21" customFormat="1" ht="45"><c r="A44" s="22"/><c r="B44" s="198" t="str"><f>Translation!A86</f><v>Passenger road transport and other passenger road transport services (public transports, taxi, tourism, school buses, etc.)</v></c><c r="C44" s="158"><f>'BAU 2020'!C44*(1-ISEAP!$O$119)</f><v>29.541122070113222</v></c><c r="D44" s="158"><f>'BAU 2020'!D44*(1-ISEAP!$O$119)</f><v>0</v></c><c r="E44" s="158"><f>'BAU 2020'!E44*(1-ISEAP!$O$119)</f><v>0</v></c><c r="F44" s="68"><f t="shared" si="5"/><v>29.541122070113222</v></c><c r="G44" s="158"><f>'BAU 2020'!G44*(1-ISEAP!$O$119)</f><v>0</v></c><c r="H44" s="158"><f>'BAU 2020'!H44*(1-ISEAP!$O$119)</f><v>2101.4535581296814</v></c><c r="I44" s="158"><f>'BAU 2020'!I44*(1-ISEAP!$O$119)</f><v>2717.5387521988014</v></c><c r="J44" s="158"><f>'BAU 2020'!J44*(1-ISEAP!$O$119)</f><v>0</v></c><c r="K44" s="158"><f>'BAU 2020'!K44*(1-ISEAP!$O$119)</f><v>0</v></c><c r="L44" s="158"><f>'BAU 2020'!L44*(1-ISEAP!$O$119)</f><v>0</v></c><c r="M44" s="68"><f t="shared" si="1"/><v>4818.9923103284827</v></c><c r="N44" s="158"><v>0</v></c><c r="O44" s="158"><v>0</v></c><c r="P44" s="158"><v>0</v></c><c r="Q44" s="158"><v>0</v></c><c r="R44" s="158"><v>0</v></c><c r="S44" s="158"><v>117.64111416417502</v></c><c r="T44" s="68"><f t="shared" si="3"/><v>117.64111416417502</v></c><c r="U44" s="68"><f t="shared" si="4"/><v>4966.174546562771</v></c></row><row r="45" spans="1:21" s="21" customFormat="1" ht="15.75"><c r="A45" s="22"/><c r="B45" s="198" t="str"><f>Translation!A87</f><v>Freight transport by road and removal services</v></c><c r="C45" s="158"><f>'BAU 2020'!C45*(1-ISEAP!$O$119)</f><v>0</v></c><c r="D45" s="158"><f>'BAU 2020'!D45*(1-ISEAP!$O$119)</f><v>0</v></c><c r="E45" s="158"><f>'BAU 2020'!E45*(1-ISEAP!$O$119)</f><v>0</v></c><c r="F45" s="68"><f t="shared" si="5"/><v>0</v></c><c r="G45" s="158"><f>'BAU 2020'!G45*(1-ISEAP!$O$119)</f><v>0</v></c><c r="H45" s="158"><f>'BAU 2020'!H45*(1-ISEAP!$O$119)</f><v>33623.256930074902</v></c><c r="I45" s="158"><f>'BAU 2020'!I45*(1-ISEAP!$O$119)</f><v>43480.620035180822</v></c><c r="J45" s="158"><f>'BAU 2020'!J45*(1-ISEAP!$O$119)</f><v>0</v></c><c r="K45" s="158"><f>'BAU 2020'!K45*(1-ISEAP!$O$119)</f><v>0</v></c><c r="L45" s="158"><f>'BAU 2020'!L45*(1-ISEAP!$O$119)</f><v>0</v></c><c r="M45" s="68"><f t="shared" si="1"/><v>77103.876965255724</v></c><c r="N45" s="158"><v>0</v></c><c r="O45" s="158"><v>0</v></c><c r="P45" s="158"><v>0</v></c><c r="Q45" s="158"><v>0</v></c><c r="R45" s="158"><v>0</v></c><c r="S45" s="158"><v>1882.2578266268004</v></c><c r="T45" s="68"><f t="shared" si="3"/><v>1882.2578266268004</v></c><c r="U45" s="68"><f t="shared" si="4"/><v>78986.134791882519</v></c></row><row r="46" spans="1:21" s="21" customFormat="1" ht="15.75"><c r="A46" s="22"/><c r="B46" s="198" t="str"><f>Translation!A88</f><v>Other fleet for public and private services</v></c><c r="C46" s="158"><f>'BAU 2020'!C46*(1-ISEAP!$O$119)</f><v>0</v></c><c r="D46" s="158"><f>'BAU 2020'!D46*(1-ISEAP!$O$119)</f><v>0</v></c><c r="E46" s="158"><f>'BAU 2020'!E46*(1-ISEAP!$O$119)</f><v>0</v></c><c r="F46" s="68"><f t="shared" si="5"/><v>0</v></c><c r="G46" s="158"><f>'BAU 2020'!G46*(1-ISEAP!$O$119)</f><v>0</v></c><c r="H46" s="158"><f>'BAU 2020'!H46*(1-ISEAP!$O$119)</f><v>0</v></c><c r="I46" s="158"><f>'BAU 2020'!I46*(1-ISEAP!$O$119)</f><v>0</v></c><c r="J46" s="158"><f>'BAU 2020'!J46*(1-ISEAP!$O$119)</f><v>0</v></c><c r="K46" s="158"><f>'BAU 2020'!K46*(1-ISEAP!$O$119)</f><v>0</v></c><c r="L46" s="158"><f>'BAU 2020'!L46*(1-ISEAP!$O$119)</f><v>0</v></c><c r="M46" s="68"><f t="shared" si="1"/><v>0</v></c><c r="N46" s="158"><v>0</v></c><c r="O46" s="158"><v>0</v></c><c r="P46" s="158"><v>0</v></c><c r="Q46" s="158"><v>0</v></c><c r="R46" s="158"><v>0</v></c><c r="S46" s="158"><v>0</v></c><c r="T46" s="68"><f t="shared" si="3"/><v>0</v></c><c r="U46" s="68"><f t="shared" si="4"/><v>0</v></c></row><row r="47" spans="1:21" s="21" customFormat="1" ht="15.75"><c r="A47" s="22"/><c r="B47" s="197" t="str"><f>Translation!A89</f><v>Private transports</v></c><c r="C47" s="158"><f>'BAU 2020'!C47*(1-ISEAP!$O$119)</f><v>0</v></c><c r="D47" s="158"><f>'BAU 2020'!D47*(1-ISEAP!$O$119)</f><v>0</v></c><c r="E47" s="158"><f>'BAU 2020'!E47*(1-ISEAP!$O$119)</f><v>0</v></c><c r="F47" s="68"><f t="shared" si="5"/><v>0</v></c><c r="G47" s="158"><f>'BAU 2020'!G47*(1-ISEAP!$O$119)</f><v>0</v></c><c r="H47" s="158"><f>'BAU 2020'!H47*(1-ISEAP!$O$119)</f><v>69254.540899344851</v></c><c r="I47" s="158"><f>'BAU 2020'!I47*(1-ISEAP!$O$119)</f><v>89557.962359733676</v></c><c r="J47" s="158"><f>'BAU 2020'!J47*(1-ISEAP!$O$119)</f><v>0</v></c><c r="K47" s="158"><f>'BAU 2020'!K47*(1-ISEAP!$O$119)</f><v>0</v></c><c r="L47" s="158"><f>'BAU 2020'!L47*(1-ISEAP!$O$119)</f><v>0</v></c><c r="M47" s="68"><f t="shared" si="1"/><v>158812.50325907854</v></c><c r="N47" s="158"><v>0</v></c><c r="O47" s="158"><v>0</v></c><c r="P47" s="158"><v>0</v></c><c r="Q47" s="158"><v>0</v></c><c r="R47" s="158"><v>0</v></c><c r="S47" s="158"><v>3876.9266733538675</v></c><c r="T47" s="68"><f t="shared" si="3"/><v>3876.9266733538675</v></c><c r="U47" s="68"><f t="shared" si="4"/><v>162689.42993243239</v></c></row><row r="48" spans="1:21" s="21" customFormat="1" ht="15.75"><c r="A48" s="22"/><c r="B48" s="77" t="str"><f>Translation!A117</f><v>TOTAL FOR INTERNAL MARKET</v></c><c r="C48" s="69"><f>C17+C27+C30+C34+C43</f><v>152621.32486888801</v></c><c r="D48" s="69"><f>D17+D27+D30+D34+D43</f><v>0</v></c><c r="E48" s="69"><f>E17+E27+E30+E34+E43</f><v>0</v></c><c r="F48" s="68"><f t="shared" si="5"/><v>152621.32486888801</v></c><c r="G48" s="69"><f>G17+G27+G30+G34+G43</f><v>35209.058718384425</v></c><c r="H48" s="69"><f t="shared" ref="H48:L48" si="15">H17+H27+H30+H34+H43</f><v>104979.25138754943</v></c><c r="I48" s="69"><f t="shared" si="15"/><v>135756.1211471133</v></c><c r="J48" s="69"><f>J17+J27+J30+J34+J43</f><v>12011.162000688953</v></c><c r="K48" s="69"><f t="shared" si="15"/><v>0</v></c><c r="L48" s="69"><f t="shared" si="15"/><v>0</v></c><c r="M48" s="68"><f>SUM(G48:L48)</f><v>287955.59325373615</v></c><c r="N48" s="69"><f t="shared" ref="N48:S48" si="16">N17+N27+N30+N34+N43</f><v>0</v></c><c r="O48" s="69"><f t="shared" si="16"/><v>314.90079787230366</v></c><c r="P48" s="69"><f t="shared" si="16"/><v>11745.545027653407</v></c><c r="Q48" s="69"><f t="shared" si="16"/><v>175.54785218100307</v></c><c r="R48" s="69"><f t="shared" si="16"/><v>0</v></c><c r="S48" s="69"><f t="shared" si="16"/><v>12256.164041774085</v></c><c r="T48" s="68"><f t="shared" si="3"/><v>24492.157719480798</v></c><c r="U48" s="68"><f t="shared" si="4"/><v>465069.07584210497</v></c></row><row r="49" spans="2:32" s="66" customFormat="1" ht="30"><c r="B49" s="197" t="str"><f>Translation!A90</f><v>Reexportation (ships, airplanes, industrial free zones, national and international militar installations, etc.)</v></c><c r="C49" s="158"><v>0</v></c><c r="D49" s="158"><v>0</v></c><c r="E49" s="158"><v>0</v></c><c r="F49" s="68"><f t="shared" si="5"/><v>0</v></c><c r="G49" s="158"><v>0</v></c><c r="H49" s="158"><v>0</v></c><c r="I49" s="158"><v>0</v></c><c r="J49" s="158"><v>0</v></c><c r="K49" s="158"><v>0</v></c><c r="L49" s="158"><v>0</v></c><c r="M49" s="68"><f t="shared" si="1"/><v>0</v></c><c r="N49" s="158"><v>0</v></c><c r="O49" s="158"><v>0</v></c><c r="P49" s="158"><v>0</v></c><c r="Q49" s="158"><v>0</v></c><c r="R49" s="158"><v>0</v></c><c r="S49" s="158"><v>0</v></c><c r="T49" s="68"><f t="shared" si="3"/><v>0</v></c><c r="U49" s="68"><f t="shared" si="4"/><v>0</v></c></row><row r="50" spans="2:32" s="66" customFormat="1" ht="30"><c r="B50" s="197" t="str"><f>Translation!A91</f><v>Activities with intensive use of energy for exportation (to exclude in the island energy balance)</v></c><c r="C50" s="158"><v>0</v></c><c r="D50" s="158"><v>0</v></c><c r="E50" s="158"><v>0</v></c><c r="F50" s="68"><f t="shared" si="5"/><v>0</v></c><c r="G50" s="158"><v>0</v></c><c r="H50" s="158"><v>0</v></c><c r="I50" s="158"><v>0</v></c><c r="J50" s="158"><v>0</v></c><c r="K50" s="158"><v>0</v></c><c r="L50" s="158"><v>0</v></c><c r="M50" s="68"><f t="shared" si="1"/><v>0</v></c><c r="N50" s="158"><v>0</v></c><c r="O50" s="158"><v>0</v></c><c r="P50" s="158"><v>0</v></c><c r="Q50" s="158"><v>0</v></c><c r="R50" s="158"><v>0</v></c><c r="S50" s="158"><v>0</v></c><c r="T50" s="68"><f t="shared" si="3"/><v>0</v></c><c r="U50" s="68"><f t="shared" si="4"/><v>0</v></c></row><row r="51" spans="2:32" s="66" customFormat="1" ht="15.75"><c r="B51" s="197" t="str"><f>Translation!A92</f><v>Other (to exclude in the island energy balance)</v></c><c r="C51" s="158"><v>0</v></c><c r="D51" s="158"><v>0</v></c><c r="E51" s="158"><v>0</v></c><c r="F51" s="68"><f t="shared" si="5"/><v>0</v></c><c r="G51" s="158"><v>0</v></c><c r="H51" s="158"><v>0</v></c><c r="I51" s="158"><v>0</v></c><c r="J51" s="158"><v>0</v></c><c r="K51" s="158"><v>0</v></c><c r="L51" s="158"><v>0</v></c><c r="M51" s="68"><f t="shared" si="1"/><v>0</v></c><c r="N51" s="158"><v>0</v></c><c r="O51" s="158"><v>0</v></c><c r="P51" s="158"><v>0</v></c><c r="Q51" s="158"><v>0</v></c><c r="R51" s="158"><v>0</v></c><c r="S51" s="158"><v>0</v></c><c r="T51" s="68"><f t="shared" si="3"/><v>0</v></c><c r="U51" s="68"><f t="shared" si="4"/><v>0</v></c></row><row r="52" spans="2:32" s="55" customFormat="1" ht="15.75"><c r="B52" s="77" t="str"><f>Translation!A118</f><v>TOTAL</v></c><c r="C52" s="57"><f>SUM(C49:C51)</f><v>0</v></c><c r="D52" s="57"><f>SUM(D49:D51)</f><v>0</v></c><c r="E52" s="57"><f>SUM(E49:E51)</f><v>0</v></c><c r="F52" s="68"><f t="shared" ref="F52" si="17">SUM(C52:E52)</f><v>0</v></c><c r="G52" s="57"><f t="shared" ref="G52:L52" si="18">SUM(G49:G51)</f><v>0</v></c><c r="H52" s="57"><f t="shared" si="18"/><v>0</v></c><c r="I52" s="57"><f t="shared" si="18"/><v>0</v></c><c r="J52" s="57"><f t="shared" si="18"/><v>0</v></c><c r="K52" s="57"><f t="shared" si="18"/><v>0</v></c><c r="L52" s="57"><f t="shared" si="18"/><v>0</v></c><c r="M52" s="68"><f t="shared" ref="M52" si="19">SUM(G52:L52)</f><v>0</v></c><c r="N52" s="57"><f t="shared" ref="N52:S52" si="20">SUM(N49:N51)</f><v>0</v></c><c r="O52" s="57"><f t="shared" si="20"/><v>0</v></c><c r="P52" s="57"><f t="shared" si="20"/><v>0</v></c><c r="Q52" s="57"><f t="shared" si="20"/><v>0</v></c><c r="R52" s="57"><f t="shared" si="20"/><v>0</v></c><c r="S52" s="57"><f t="shared" si="20"/><v>0</v></c><c r="T52" s="68"><f t="shared" ref="T17:T52" si="21">SUM(N52:S52)</f><v>0</v></c><c r="U52" s="68"><f t="shared" ref="U17:U52" si="22">F52+M52+T52</f><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4" t="str"><f>Translation!A120</f><v>PRODUCTION SECTOR</v></c><c r="C55" s="296" t="str"><f>Translation!A121</f><v>ENERGY SOURCE</v></c><c r="D55" s="297"/><c r="E55" s="297"/><c r="F55" s="297"/><c r="G55" s="297"/><c r="H55" s="297"/><c r="I55" s="297"/><c r="J55" s="297"/><c r="K55" s="297"/><c r="L55" s="297"/><c r="M55" s="297"/><c r="N55" s="297"/><c r="O55" s="297"/><c r="P55" s="297"/><c r="Q55" s="297"/><c r="R55" s="297"/><c r="S55" s="298"/><c r="T55" s="296" t="str"><f>Translation!A138</f><v>SECONDARY ENERGY CONVERSION</v></c><c r="U55" s="297"/><c r="V55" s="298"/><c r="W55" s="315" t="str"><f>Translation!A129</f><v>ENERGY FLUXES</v></c><c r="X55" s="316"/><c r="Y55" s="316"/><c r="Z55" s="316"/><c r="AA55" s="316"/><c r="AB55" s="317"/><c r="AC55" s="327" t="str"><f>Translation!A118</f><v>TOTAL</v></c><c r="AD55" s="269" t="str"><f>Translation!A137</f><v>Distribution losses and self-consumption</v></c></row><row r="56" spans="2:32" s="55" customFormat="1" ht="18" customHeight="1"><c r="B56" s="295"/><c r="C56" s="331" t="str"><f>Translation!A98</f><v>Fossil fuels</v></c><c r="D56" s="332"/><c r="E56" s="332"/><c r="F56" s="332"/><c r="G56" s="332"/><c r="H56" s="332"/><c r="I56" s="333"/><c r="J56" s="331" t="str"><f>Translation!A106</f><v>Renewable energy sources (from systems connected to public networks)</v></c><c r="K56" s="332"/><c r="L56" s="332"/><c r="M56" s="332"/><c r="N56" s="332"/><c r="O56" s="332"/><c r="P56" s="332"/><c r="Q56" s="332"/><c r="R56" s="333"/><c r="S56" s="269" t="str"><f>Translation!A116</f><v>Subtotal</v></c><c r="T56" s="325" t="str"><f>Translation!A139</f><v>Electricity conversion to cold</v></c><c r="U56" s="325" t="str"><f>Translation!A140</f><v>Heat conversion to cold</v></c><c r="V56" s="269" t="str"><f>Translation!A116</f><v>Subtotal</v></c><c r="W56" s="329" t="str"><f>Translation!A130</f><v>Storage</v></c><c r="X56" s="330"/><c r="Y56" s="328" t="str"><f>Translation!A133</f><v>External connection</v></c><c r="Z56" s="328"/><c r="AA56" s="294" t="str"><f>Translation!A136</f><v>Reexportation and external consumption</v></c><c r="AB56" s="269" t="str"><f>Translation!A116</f><v>Subtotal</v></c><c r="AC56" s="327"/><c r="AD56" s="269"/></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69"/><c r="T57" s="326"/><c r="U57" s="326"/><c r="V57" s="269"/><c r="W57" s="117" t="str"><f>Translation!A131</f><v>Input to storage</v></c><c r="X57" s="117" t="str"><f>Translation!A132</f><v>Output from storage</v></c><c r="Y57" s="117" t="str"><f>Translation!A134</f><v>Import to island</v></c><c r="Z57" s="117" t="str"><f>Translation!A135</f><v>Export from island</v></c><c r="AA57" s="295"/><c r="AB57" s="269"/><c r="AC57" s="327"/><c r="AD57" s="269"/></row><row r="58" spans="2:32" s="55" customFormat="1" ht="15.75"><c r="B58" s="199" t="str"><f>Translation!A123</f><v>Electricity</v></c><c r="C58" s="158"><f>'BAU 2020'!C58*(1-ISEAP!$O$119)</f><v>37900.076228757767</v></c><c r="D58" s="158"><f>'BAU 2020'!D58*(1-ISEAP!$O$119)</f><v>2136.245244760983</v></c><c r="E58" s="164"/><c r="F58" s="164"/><c r="G58" s="158"><f>'BAU 2020'!G58*(1-ISEAP!$O$119)</f><v>112585.00339536925</v></c><c r="H58" s="164"/><c r="I58" s="63"><f>SUM(C58:H58)</f><v>152621.32486888801</v></c><c r="J58" s="164"/><c r="K58" s="164"/><c r="L58" s="164"/><c r="M58" s="164"/><c r="N58" s="164"/><c r="O58" s="164"/><c r="P58" s="164"/><c r="Q58" s="164"/><c r="R58" s="63"><f>SUM(J58:Q58)</f><v>0</v></c><c r="S58" s="63"><f>I58+R58</f><v>152621.32486888801</v></c><c r="T58" s="164"/><c r="U58" s="164"/><c r="V58" s="63"><f>-T58</f><v>0</v></c><c r="W58" s="164"/><c r="X58" s="164"/><c r="Y58" s="164"/><c r="Z58" s="164"/><c r="AA58" s="201"><f>$C$49+$C$50+$C$51</f><v>0</v></c><c r="AB58" s="63"><f>-SUM(W58)+SUM(X58:Y58)-SUM(Z58:AA58)</f><v>0</v></c><c r="AC58" s="68"><f>S58+V58+AB58</f><v>152621.32486888801</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3">SUM(C58:C60)</f><v>37900.076228757767</v></c><c r="D61" s="57"><f t="shared" si="23"/><v>2136.245244760983</v></c><c r="E61" s="57"><f t="shared" si="23"/><v>0</v></c><c r="F61" s="57"><f t="shared" si="23"/><v>0</v></c><c r="G61" s="57"><f t="shared" si="23"/><v>112585.00339536925</v></c><c r="H61" s="57"><f t="shared" si="23"/><v>0</v></c><c r="I61" s="57"><f t="shared" si="23"/><v>152621.32486888801</v></c><c r="J61" s="57"><f t="shared" si="23"/><v>0</v></c><c r="K61" s="57"><f t="shared" si="23"/><v>0</v></c><c r="L61" s="57"><f t="shared" si="23"/><v>0</v></c><c r="M61" s="57"><f t="shared" si="23"/><v>0</v></c><c r="N61" s="57"><f t="shared" si="23"/><v>0</v></c><c r="O61" s="57"><f t="shared" si="23"/><v>0</v></c><c r="P61" s="57"><f t="shared" si="23"/><v>0</v></c><c r="Q61" s="57"><f t="shared" si="23"/><v>0</v></c><c r="R61" s="57"><f t="shared" si="23"/><v>0</v></c><c r="S61" s="57"><f t="shared" si="23"/><v>152621.32486888801</v></c><c r="T61" s="57"><f t="shared" si="23"/><v>0</v></c><c r="U61" s="57"><f t="shared" si="23"/><v>0</v></c><c r="V61" s="57"><f t="shared" si="23"/><v>0</v></c><c r="W61" s="57"><f t="shared" si="23"/><v>0</v></c><c r="X61" s="57"><f t="shared" si="23"/><v>0</v></c><c r="Y61" s="57"><f t="shared" si="23"/><v>0</v></c><c r="Z61" s="57"><f t="shared" si="23"/><v>0</v></c><c r="AA61" s="57"><f t="shared" si="23"/><v>0</v></c><c r="AB61" s="57"><f t="shared" si="23"/><v>0</v></c><c r="AC61" s="57"><f t="shared" si="23"/><v>152621.32486888801</v></c><c r="AD61" s="57"><f t="shared" si="23"/><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4" t="str"><f>Translation!A120</f><v>PRODUCTION SECTOR</v></c><c r="C64" s="322" t="str"><f>Translation!A142</f><v>PRIMARY ENERGY SOURCE</v></c><c r="D64" s="323"/><c r="E64" s="323"/><c r="F64" s="323"/><c r="G64" s="323"/><c r="H64" s="323"/><c r="I64" s="323"/><c r="J64" s="323"/><c r="K64" s="323"/><c r="L64" s="323"/><c r="M64" s="323"/><c r="N64" s="323"/><c r="O64" s="323"/><c r="P64" s="323"/><c r="Q64" s="323"/><c r="R64" s="323"/><c r="S64" s="324"/><c r="T64" s="318" t="str"><f>Translation!A127</f><v>Conversion losses from primary to secondary energy</v></c><c r="U64" s="61"/><c r="V64" s="61"/><c r="W64" s="72"/><c r="X64" s="61"/><c r="Y64" s="61"/><c r="Z64" s="61"/><c r="AA64" s="61"/><c r="AB64" s="61"/><c r="AC64" s="61"/><c r="AD64" s="61"/><c r="AE64" s="61"/></row><row r="65" spans="2:32" s="55" customFormat="1" ht="15" customHeight="1"><c r="B65" s="295"/><c r="C65" s="322" t="str"><f>Translation!A98</f><v>Fossil fuels</v></c><c r="D65" s="323"/><c r="E65" s="323"/><c r="F65" s="323"/><c r="G65" s="323"/><c r="H65" s="323"/><c r="I65" s="324"/><c r="J65" s="322" t="str"><f>Translation!A107</f><v>Renewable energy sources</v></c><c r="K65" s="323"/><c r="L65" s="323"/><c r="M65" s="323"/><c r="N65" s="323"/><c r="O65" s="323"/><c r="P65" s="323"/><c r="Q65" s="323"/><c r="R65" s="324"/><c r="S65" s="321" t="str"><f>Translation!A118</f><v>TOTAL</v></c><c r="T65" s="319"/><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21"/><c r="T66" s="320"/><c r="U66" s="61"/><c r="V66" s="61"/><c r="W66" s="72"/><c r="X66" s="61"/><c r="Y66" s="61"/><c r="Z66" s="61"/><c r="AA66" s="61"/><c r="AB66" s="61"/><c r="AC66" s="61"/><c r="AD66" s="61"/><c r="AE66" s="61"/></row><row r="67" spans="2:32" s="55" customFormat="1" ht="15.75"><c r="B67" s="199" t="str"><f>Translation!A123</f><v>Electricity</v></c><c r="C67" s="158"><f>'BAU 2020'!C67*(1-ISEAP!$O$119)</f><v>108285.93208216506</v></c><c r="D67" s="158"><f>'BAU 2020'!D67*(1-ISEAP!$O$119)</f><v>6891.1136927773641</v></c><c r="E67" s="164"/><c r="F67" s="164"/><c r="G67" s="158"><f>'BAU 2020'!G67*(1-ISEAP!$O$119)</f><v>255875.00771674831</v></c><c r="H67" s="164"/><c r="I67" s="63"><f>SUM(C67:H67)</f><v>371052.05349169072</v></c><c r="J67" s="200"><f>J58</f><v>0</v></c><c r="K67" s="200"><f t="shared" ref="K67:Q67" si="24">K58</f><v>0</v></c><c r="L67" s="200"><f t="shared" si="24"/><v>0</v></c><c r="M67" s="200"><f t="shared" si="24"/><v>0</v></c><c r="N67" s="200"><f t="shared" si="24"/><v>0</v></c><c r="O67" s="200"><f t="shared" si="24"/><v>0</v></c><c r="P67" s="200"><f t="shared" si="24"/><v>0</v></c><c r="Q67" s="200"><f t="shared" si="24"/><v>0</v></c><c r="R67" s="63"><f>SUM(J67:Q67)</f><v>0</v></c><c r="S67" s="63"><f>I67+R67</f><v>371052.05349169072</v></c><c r="T67" s="75"><f>S67-AC58+AB58</f><v>218430.72862280271</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5">J59</f><v>0</v></c><c r="K68" s="200"><f t="shared" si="25"/><v>0</v></c><c r="L68" s="200"><f t="shared" si="25"/><v>0</v></c><c r="M68" s="200"><f t="shared" si="25"/><v>0</v></c><c r="N68" s="200"><f t="shared" si="25"/><v>0</v></c><c r="O68" s="200"><f t="shared" si="25"/><v>0</v></c><c r="P68" s="200"><f t="shared" si="25"/><v>0</v></c><c r="Q68" s="200"><f t="shared" si="25"/><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5"/><v>0</v></c><c r="K69" s="200"><f t="shared" si="25"/><v>0</v></c><c r="L69" s="200"><f t="shared" si="25"/><v>0</v></c><c r="M69" s="200"><f t="shared" si="25"/><v>0</v></c><c r="N69" s="200"><f t="shared" si="25"/><v>0</v></c><c r="O69" s="200"><f t="shared" si="25"/><v>0</v></c><c r="P69" s="200"><f t="shared" si="25"/><v>0</v></c><c r="Q69" s="200"><f t="shared" si="25"/><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6">SUM(C67:C69)</f><v>108285.93208216506</v></c><c r="D70" s="57"><f t="shared" si="26"/><v>6891.1136927773641</v></c><c r="E70" s="57"><f t="shared" si="26"/><v>0</v></c><c r="F70" s="57"><f t="shared" si="26"/><v>0</v></c><c r="G70" s="57"><f t="shared" si="26"/><v>255875.00771674831</v></c><c r="H70" s="57"><f t="shared" si="26"/><v>0</v></c><c r="I70" s="57"><f t="shared" si="26"/><v>371052.05349169072</v></c><c r="J70" s="57"><f t="shared" si="26"/><v>0</v></c><c r="K70" s="57"><f t="shared" si="26"/><v>0</v></c><c r="L70" s="57"><f t="shared" si="26"/><v>0</v></c><c r="M70" s="57"><f t="shared" si="26"/><v>0</v></c><c r="N70" s="57"><f t="shared" si="26"/><v>0</v></c><c r="O70" s="57"><f t="shared" si="26"/><v>0</v></c><c r="P70" s="57"><f t="shared" si="26"/><v>0</v></c><c r="Q70" s="57"><f t="shared" si="26"/><v>0</v></c><c r="R70" s="57"><f t="shared" si="26"/><v>0</v></c><c r="S70" s="57"><f t="shared" si="26"/><v>371052.05349169072</v></c><c r="T70" s="75"><f>S70-AC61+AB61</f><v>218430.72862280271</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37" t="str"><f>Translation!A122</f><v>Energy product</v></c><c r="C73" s="296" t="str"><f>Translation!A142</f><v>PRIMARY ENERGY SOURCE</v></c><c r="D73" s="297"/><c r="E73" s="297"/><c r="F73" s="297"/><c r="G73" s="297"/><c r="H73" s="297"/><c r="I73" s="297"/><c r="J73" s="297"/><c r="K73" s="297"/><c r="L73" s="297"/><c r="M73" s="297"/><c r="N73" s="297"/><c r="O73" s="297"/><c r="P73" s="297"/><c r="Q73" s="297"/><c r="R73" s="297"/><c r="S73" s="297"/><c r="T73" s="297"/><c r="U73" s="297"/><c r="V73" s="297"/><c r="W73" s="297"/><c r="X73" s="297"/><c r="Y73" s="298"/></row><row r="74" spans="2:32" s="55" customFormat="1" ht="15" customHeight="1"><c r="B74" s="338"/><c r="C74" s="296" t="str"><f>Translation!A98</f><v>Fossil fuels</v></c><c r="D74" s="297"/><c r="E74" s="297"/><c r="F74" s="297"/><c r="G74" s="297"/><c r="H74" s="297"/><c r="I74" s="298"/><c r="J74" s="296" t="str"><f>Translation!A107</f><v>Renewable energy sources</v></c><c r="K74" s="297"/><c r="L74" s="297"/><c r="M74" s="297"/><c r="N74" s="297"/><c r="O74" s="297"/><c r="P74" s="297"/><c r="Q74" s="297"/><c r="R74" s="298"/><c r="S74" s="315" t="str"><f>Translation!A123</f><v>Electricity</v></c><c r="T74" s="316"/><c r="U74" s="316"/><c r="V74" s="317"/><c r="W74" s="74" t="str"><f>Translation!A124</f><v>Heat</v></c><c r="X74" s="74" t="str"><f>Translation!A125</f><v>Cold</v></c><c r="Y74" s="294" t="str"><f>Translation!A118</f><v>TOTAL</v></c></row><row r="75" spans="2:32" s="55" customFormat="1" ht="46.5" customHeight="1"><c r="B75" s="339"/><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95"/></row><row r="76" spans="2:32" s="55" customFormat="1" ht="15.75"><c r="B76" s="114" t="str"><f>Translation!A118</f><v>TOTAL</v></c><c r="C76" s="201"><f>G48+C70</f><v>143494.99080054948</v></c><c r="D76" s="201"><f t="shared" ref="D76:H76" si="27">H48+D70</f><v>111870.3650803268</v></c><c r="E76" s="201"><f t="shared" si="27"/><v>135756.1211471133</v></c><c r="F76" s="201"><f t="shared" si="27"/><v>12011.162000688953</v></c><c r="G76" s="201"><f>K48+G70</f><v>255875.00771674831</v></c><c r="H76" s="201"><f t="shared" si="27"/><v>0</v></c><c r="I76" s="57"><f>SUM(C76:H76)</f><v>659007.64674542681</v></c><c r="J76" s="201"><f t="shared" ref="J76:O76" si="28">N48+J70</f><v>0</v></c><c r="K76" s="201"><f t="shared" si="28"/><v>314.90079787230366</v></c><c r="L76" s="201"><f t="shared" si="28"/><v>11745.545027653407</v></c><c r="M76" s="201"><f t="shared" si="28"/><v>175.54785218100307</v></c><c r="N76" s="201"><f t="shared" si="28"/><v>0</v></c><c r="O76" s="201"><f t="shared" si="28"/><v>12256.164041774085</v></c><c r="P76" s="201"><f>P70</f><v>0</v></c><c r="Q76" s="201"><f>Q70</f><v>0</v></c><c r="R76" s="57"><f>SUM(J76:Q76)</f><v>24492.157719480798</v></c><c r="S76" s="201"><f>Y61</f><v>0</v></c><c r="T76" s="201"><f>Z61</f><v>0</v></c><c r="U76" s="201"><f>$C$49+$C$50+$C$51</f><v>0</v></c><c r="V76" s="57"><f>S76-T76-U76</f><v>0</v></c><c r="W76" s="201"><f>$D$49+$D$50+$D$51</f><v>0</v></c><c r="X76" s="201"><f>$E$49+$E$50+$E$51</f><v>0</v></c><c r="Y76" s="57"><f>I76+R76+V76-W76-X76</f><v>683499.80446490762</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4" t="str"><f>Translation!A120</f><v>PRODUCTION SECTOR</v></c><c r="C79" s="322" t="str"><f>Translation!A142</f><v>PRIMARY ENERGY SOURCE</v></c><c r="D79" s="323"/><c r="E79" s="323"/><c r="F79" s="323"/><c r="G79" s="323"/><c r="H79" s="323"/><c r="I79" s="323"/><c r="J79" s="323"/><c r="K79" s="323"/><c r="L79" s="323"/><c r="M79" s="323"/><c r="N79" s="323"/><c r="O79" s="323"/><c r="P79" s="323"/><c r="Q79" s="323"/><c r="R79" s="323"/><c r="S79" s="324"/><c r="T79" s="72"/><c r="V79" s="61"/><c r="W79" s="61"/><c r="X79" s="72"/><c r="Y79" s="61"/><c r="Z79" s="61"/><c r="AA79" s="61"/><c r="AB79" s="61"/><c r="AC79" s="61"/><c r="AD79" s="61"/><c r="AE79" s="61"/><c r="AF79" s="61"/></row><row r="80" spans="2:32" s="55" customFormat="1" ht="15" customHeight="1"><c r="B80" s="295"/><c r="C80" s="322" t="str"><f>Translation!A98</f><v>Fossil fuels</v></c><c r="D80" s="323"/><c r="E80" s="323"/><c r="F80" s="323"/><c r="G80" s="323"/><c r="H80" s="323"/><c r="I80" s="324"/><c r="J80" s="322" t="str"><f>Translation!A107</f><v>Renewable energy sources</v></c><c r="K80" s="323"/><c r="L80" s="323"/><c r="M80" s="323"/><c r="N80" s="323"/><c r="O80" s="323"/><c r="P80" s="323"/><c r="Q80" s="323"/><c r="R80" s="324"/><c r="S80" s="321"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21"/><c r="T81" s="72"/><c r="V81" s="61"/><c r="W81" s="61"/><c r="X81" s="72"/><c r="Y81" s="61"/><c r="Z81" s="61"/><c r="AA81" s="61"/><c r="AB81" s="61"/><c r="AC81" s="61"/><c r="AD81" s="61"/><c r="AE81" s="61"/><c r="AF81" s="61"/></row><row r="82" spans="1:32" s="55" customFormat="1" ht="15.75"><c r="B82" s="199" t="str"><f>Translation!A123</f><v>Electricity</v></c><c r="C82" s="203"><f t="shared" ref="C82:P84" si="29">IF(C67&gt;0,C58/C67,"-")</f><v>0.35</v></c><c r="D82" s="203"><f t="shared" si="29"/><v>0.31</v></c><c r="E82" s="203" t="str"><f t="shared" si="29"/><v>-</v></c><c r="F82" s="203" t="str"><f t="shared" si="29"/><v>-</v></c><c r="G82" s="203"><f t="shared" si="29"/><v>0.43999999999999995</v></c><c r="H82" s="203" t="str"><f t="shared" si="29"/><v>-</v></c><c r="I82" s="71"><f t="shared" si="29"/><v>0.41132052344862119</v></c><c r="J82" s="203" t="str"><f t="shared" si="29"/><v>-</v></c><c r="K82" s="203" t="str"><f t="shared" si="29"/><v>-</v></c><c r="L82" s="203" t="str"><f t="shared" si="29"/><v>-</v></c><c r="M82" s="203" t="str"><f t="shared" si="29"/><v>-</v></c><c r="N82" s="203" t="str"><f t="shared" si="29"/><v>-</v></c><c r="O82" s="203" t="str"><f t="shared" si="29"/><v>-</v></c><c r="P82" s="203" t="str"><f t="shared" si="29"/><v>-</v></c><c r="Q82" s="203" t="s"><v>567</v></c><c r="R82" s="71" t="str"><f t="shared" ref="R82:S84" si="30">IF(R67&gt;0,R58/R67,"-")</f><v>-</v></c><c r="S82" s="71"><f t="shared" si="30"/><v>0.41132052344862119</v></c><c r="T82" s="62"/><c r="V82" s="61"/><c r="W82" s="61"/><c r="X82" s="62"/><c r="Y82" s="61"/><c r="Z82" s="61"/><c r="AA82" s="61"/><c r="AB82" s="61"/><c r="AC82" s="61"/><c r="AD82" s="61"/><c r="AE82" s="61"/><c r="AF82" s="61"/></row><row r="83" spans="1:32" s="55" customFormat="1" ht="15.75"><c r="B83" s="199" t="str"><f>Translation!A124</f><v>Heat</v></c><c r="C83" s="203" t="str"><f t="shared" si="29"/><v>-</v></c><c r="D83" s="203" t="str"><f t="shared" si="29"/><v>-</v></c><c r="E83" s="203" t="str"><f t="shared" si="29"/><v>-</v></c><c r="F83" s="203" t="str"><f t="shared" si="29"/><v>-</v></c><c r="G83" s="203" t="str"><f t="shared" si="29"/><v>-</v></c><c r="H83" s="203" t="str"><f t="shared" si="29"/><v>-</v></c><c r="I83" s="71" t="str"><f t="shared" si="29"/><v>-</v></c><c r="J83" s="203" t="str"><f t="shared" si="29"/><v>-</v></c><c r="K83" s="203" t="str"><f t="shared" si="29"/><v>-</v></c><c r="L83" s="203" t="str"><f t="shared" si="29"/><v>-</v></c><c r="M83" s="203" t="str"><f t="shared" si="29"/><v>-</v></c><c r="N83" s="203" t="str"><f t="shared" si="29"/><v>-</v></c><c r="O83" s="203" t="str"><f t="shared" si="29"/><v>-</v></c><c r="P83" s="203" t="str"><f t="shared" si="29"/><v>-</v></c><c r="Q83" s="203" t="s"><v>567</v></c><c r="R83" s="71" t="str"><f t="shared" si="30"/><v>-</v></c><c r="S83" s="71" t="str"><f t="shared" si="30"/><v>-</v></c><c r="T83" s="62"/><c r="V83" s="61"/><c r="W83" s="61"/><c r="X83" s="62"/><c r="Y83" s="61"/><c r="Z83" s="61"/><c r="AA83" s="61"/><c r="AB83" s="61"/><c r="AC83" s="61"/><c r="AD83" s="61"/><c r="AE83" s="61"/><c r="AF83" s="61"/></row><row r="84" spans="1:32" s="55" customFormat="1" ht="15.75"><c r="B84" s="199" t="str"><f>Translation!A125</f><v>Cold</v></c><c r="C84" s="203" t="str"><f t="shared" si="29"/><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30"/><v>-</v></c><c r="S84" s="71" t="str"><f t="shared" si="30"/><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25" t="str"><f>Translation!A56</f><v>DEMAND SECTOR</v></c><c r="C88" s="299" t="str"><f>Translation!A93</f><v>ENERGY FOR FINAL USE</v></c><c r="D88" s="300"/><c r="E88" s="300"/><c r="F88" s="300"/><c r="G88" s="300"/><c r="H88" s="300"/><c r="I88" s="300"/><c r="J88" s="300"/><c r="K88" s="300"/><c r="L88" s="300"/><c r="M88" s="300"/><c r="N88" s="300"/><c r="O88" s="300"/><c r="P88" s="300"/><c r="Q88" s="300"/><c r="R88" s="300"/><c r="S88" s="300"/><c r="T88" s="300"/><c r="U88" s="301"/></row><row r="89" spans="1:32" s="55" customFormat="1" ht="18" customHeight="1"><c r="B89" s="326"/><c r="C89" s="299" t="str"><f>Translation!A94</f><v>Centralized energy services</v></c><c r="D89" s="300"/><c r="E89" s="300"/><c r="F89" s="301"/><c r="G89" s="299" t="str"><f>Translation!A98</f><v>Fossil fuels</v></c><c r="H89" s="300"/><c r="I89" s="300"/><c r="J89" s="300"/><c r="K89" s="300"/><c r="L89" s="300"/><c r="M89" s="301"/><c r="N89" s="299" t="str"><f>Translation!A105</f><v>Renewable energy sources (excluding electricity and heat sold to public networks)</v></c><c r="O89" s="300"/><c r="P89" s="300"/><c r="Q89" s="300"/><c r="R89" s="300"/><c r="S89" s="300"/><c r="T89" s="301"/><c r="U89" s="308"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310"/></row><row r="91" spans="1:32" s="21" customFormat="1" ht="15.75"><c r="A91" s="22"/><c r="B91" s="70" t="str"><f>Translation!A59</f><v>RESIDENTIAL</v></c><c r="C91" s="68"><f>SUM(C92:C100)</f><v>22781.25009473219</v></c><c r="D91" s="68"><f>SUM(D92:D100)</f><v>0</v></c><c r="E91" s="68"><f>SUM(E92:E100)</f><v>0</v></c><c r="F91" s="68"><f t="shared" ref="F91:F122" si="31">SUM(C91:E91)</f><v>22781.25009473219</v></c><c r="G91" s="68"><f t="shared" ref="G91:L91" si="32">SUM(G92:G100)</f><v>5279.2671036021648</v></c><c r="H91" s="68"><f t="shared" si="32"/><v>0</v></c><c r="I91" s="68"><f t="shared" si="32"/><v>0</v></c><c r="J91" s="68"><f t="shared" si="32"/><v>650.30319274473084</v></c><c r="K91" s="68"><f t="shared" si="32"/><v>0</v></c><c r="L91" s="68"><f t="shared" si="32"/><v>0</v></c><c r="M91" s="68"><f t="shared" ref="M91:M122" si="33">SUM(G91:L91)</f><v>5929.5702963468957</v></c><c r="N91" s="68"><f t="shared" ref="N91:S91" si="34">SUM(N92:N100)</f><v>0</v></c><c r="O91" s="68"><f t="shared" si="34"/><v>0</v></c><c r="P91" s="68"><f t="shared" si="34"/><v>0</v></c><c r="Q91" s="68"><f t="shared" si="34"/><v>0</v></c><c r="R91" s="68"><f t="shared" si="34"/><v>0</v></c><c r="S91" s="68"><f t="shared" si="34"/><v>0</v></c><c r="T91" s="68"><f t="shared" ref="T91:T122" si="35">SUM(N91:S91)</f><v>0</v></c><c r="U91" s="68"><f t="shared" ref="U91:U122" si="36">F91+M91+T91</f><v>28710.820391079083</v></c></row><row r="92" spans="1:32" s="21" customFormat="1" ht="15.75"><c r="A92" s="22"/><c r="B92" s="197" t="str"><f>Translation!A60</f><v>Hot water</v></c><c r="C92" s="200"><f>IF(C$48&gt;0, ($S$128+$V$137)/C$48,0)*C18</f><v>683.43750284196528</v></c><c r="D92" s="200"><f t="shared" ref="D92:D100" si="37">IF(D$48&gt;0, ($S$129)/D$48,0)*D18</f><v>0</v></c><c r="E92" s="200"><f t="shared" ref="E92:E100" si="38">IF(E$48&gt;0, ($S$130)/E$48,0)*E18</f><v>0</v></c><c r="F92" s="68"><f t="shared" si="31"/><v>683.43750284196528</v></c><c r="G92" s="200"><f>'CO2 factors'!C$7*G18</f><v>304.08944338635251</v></c><c r="H92" s="200"><f>'CO2 factors'!D$7*H18</f><v>0</v></c><c r="I92" s="200"><f>'CO2 factors'!E$7*I18</f><v>0</v></c><c r="J92" s="200"><f>'CO2 factors'!F$7*J18</f><v>18.684451206534703</v></c><c r="K92" s="200"><f>'CO2 factors'!G$7*K18</f><v>0</v></c><c r="L92" s="200"><f>'CO2 factors'!H$7*L18</f><v>0</v></c><c r="M92" s="68"><f t="shared" si="33"/><v>322.77389459288725</v></c><c r="N92" s="200"><f>'CO2 factors'!J$7*N18</f><v>0</v></c><c r="O92" s="200"><f>'CO2 factors'!K$7*O18</f><v>0</v></c><c r="P92" s="200"><f>'CO2 factors'!L$7*P18</f><v>0</v></c><c r="Q92" s="200"><f>'CO2 factors'!M$7*Q18</f><v>0</v></c><c r="R92" s="200"><f>'CO2 factors'!N$7*R18</f><v>0</v></c><c r="S92" s="200"><f>'CO2 factors'!O$7*S18</f><v>0</v></c><c r="T92" s="68"><f t="shared" si="35"/><v>0</v></c><c r="U92" s="68"><f t="shared" si="36"/><v>1006.2113974348525</v></c></row><row r="93" spans="1:32" s="21" customFormat="1" ht="15.75"><c r="A93" s="22"/><c r="B93" s="197" t="str"><f>Translation!A61</f><v>Heating and cooling</v></c><c r="C93" s="200"><f t="shared" ref="C92:C100" si="39">IF(C$48&gt;0, ($S$128+$V$137)/C$48,0)*C19</f><v>16402.50006820718</v></c><c r="D93" s="200"><f t="shared" si="37"/><v>0</v></c><c r="E93" s="200"><f t="shared" si="38"/><v>0</v></c><c r="F93" s="68"><f t="shared" si="31"/><v>16402.50006820718</v></c><c r="G93" s="200"><f>'CO2 factors'!C$7*G19</f><v>4975.1776602158125</v></c><c r="H93" s="200"><f>'CO2 factors'!D$7*H19</f><v>0</v></c><c r="I93" s="200"><f>'CO2 factors'!E$7*I19</f><v>0</v></c><c r="J93" s="200"><f>'CO2 factors'!F$7*J19</f><v>503.49679040767245</v></c><c r="K93" s="200"><f>'CO2 factors'!G$7*K19</f><v>0</v></c><c r="L93" s="200"><f>'CO2 factors'!H$7*L19</f><v>0</v></c><c r="M93" s="68"><f t="shared" si="33"/><v>5478.6744506234845</v></c><c r="N93" s="200"><f>'CO2 factors'!J$7*N19</f><v>0</v></c><c r="O93" s="200"><f>'CO2 factors'!K$7*O19</f><v>0</v></c><c r="P93" s="200"><f>'CO2 factors'!L$7*P19</f><v>0</v></c><c r="Q93" s="200"><f>'CO2 factors'!M$7*Q19</f><v>0</v></c><c r="R93" s="200"><f>'CO2 factors'!N$7*R19</f><v>0</v></c><c r="S93" s="200"><f>'CO2 factors'!O$7*S19</f><v>0</v></c><c r="T93" s="68"><f t="shared" si="35"/><v>0</v></c><c r="U93" s="68"><f t="shared" si="36"/><v>21881.174518830667</v></c></row><row r="94" spans="1:32" s="21" customFormat="1" ht="15.75"><c r="A94" s="22"/><c r="B94" s="197" t="str"><f>Translation!A62</f><v>Lighting</v></c><c r="C94" s="200"><f t="shared" si="39"/><v>911.25000378928723</v></c><c r="D94" s="200"><f t="shared" si="37"/><v>0</v></c><c r="E94" s="200"><f t="shared" si="38"/><v>0</v></c><c r="F94" s="68"><f t="shared" si="31"/><v>911.25000378928723</v></c><c r="G94" s="200"><f>'CO2 factors'!C$7*G20</f><v>0</v></c><c r="H94" s="200"><f>'CO2 factors'!D$7*H20</f><v>0</v></c><c r="I94" s="200"><f>'CO2 factors'!E$7*I20</f><v>0</v></c><c r="J94" s="200"><f>'CO2 factors'!F$7*J20</f><v>0</v></c><c r="K94" s="200"><f>'CO2 factors'!G$7*K20</f><v>0</v></c><c r="L94" s="200"><f>'CO2 factors'!H$7*L20</f><v>0</v></c><c r="M94" s="68"><f t="shared" si="33"/><v>0</v></c><c r="N94" s="200"><f>'CO2 factors'!J$7*N20</f><v>0</v></c><c r="O94" s="200"><f>'CO2 factors'!K$7*O20</f><v>0</v></c><c r="P94" s="200"><f>'CO2 factors'!L$7*P20</f><v>0</v></c><c r="Q94" s="200"><f>'CO2 factors'!M$7*Q20</f><v>0</v></c><c r="R94" s="200"><f>'CO2 factors'!N$7*R20</f><v>0</v></c><c r="S94" s="200"><f>'CO2 factors'!O$7*S20</f><v>0</v></c><c r="T94" s="68"><f t="shared" si="35"/><v>0</v></c><c r="U94" s="68"><f t="shared" si="36"/><v>911.25000378928723</v></c></row><row r="95" spans="1:32" s="21" customFormat="1" ht="15.75"><c r="A95" s="22"/><c r="B95" s="197" t="str"><f>Translation!A63</f><v>Cooking</v></c><c r="C95" s="200"><f t="shared" si="39"/><v>683.43750284196528</v></c><c r="D95" s="200"><f t="shared" si="37"/><v>0</v></c><c r="E95" s="200"><f t="shared" si="38"/><v>0</v></c><c r="F95" s="68"><f t="shared" si="31"/><v>683.43750284196528</v></c><c r="G95" s="200"><f>'CO2 factors'!C$7*G21</f><v>0</v></c><c r="H95" s="200"><f>'CO2 factors'!D$7*H21</f><v>0</v></c><c r="I95" s="200"><f>'CO2 factors'!E$7*I21</f><v>0</v></c><c r="J95" s="200"><f>'CO2 factors'!F$7*J21</f><v>128.12195113052371</v></c><c r="K95" s="200"><f>'CO2 factors'!G$7*K21</f><v>0</v></c><c r="L95" s="200"><f>'CO2 factors'!H$7*L21</f><v>0</v></c><c r="M95" s="68"><f t="shared" si="33"/><v>128.12195113052371</v></c><c r="N95" s="200"><f>'CO2 factors'!J$7*N21</f><v>0</v></c><c r="O95" s="200"><f>'CO2 factors'!K$7*O21</f><v>0</v></c><c r="P95" s="200"><f>'CO2 factors'!L$7*P21</f><v>0</v></c><c r="Q95" s="200"><f>'CO2 factors'!M$7*Q21</f><v>0</v></c><c r="R95" s="200"><f>'CO2 factors'!N$7*R21</f><v>0</v></c><c r="S95" s="200"><f>'CO2 factors'!O$7*S21</f><v>0</v></c><c r="T95" s="68"><f t="shared" si="35"/><v>0</v></c><c r="U95" s="68"><f t="shared" si="36"/><v>811.559453972489</v></c></row><row r="96" spans="1:32" s="21" customFormat="1" ht="15.75"><c r="A96" s="22"/><c r="B96" s="197" t="str"><f>Translation!A64</f><v>Refrigerator and freezers</v></c><c r="C96" s="200"><f t="shared" si="39"/><v>0</v></c><c r="D96" s="200"><f t="shared" si="37"/><v>0</v></c><c r="E96" s="200"><f t="shared" si="38"/><v>0</v></c><c r="F96" s="68"><f t="shared" si="31"/><v>0</v></c><c r="G96" s="200"><f>'CO2 factors'!C$7*G22</f><v>0</v></c><c r="H96" s="200"><f>'CO2 factors'!D$7*H22</f><v>0</v></c><c r="I96" s="200"><f>'CO2 factors'!E$7*I22</f><v>0</v></c><c r="J96" s="200"><f>'CO2 factors'!F$7*J22</f><v>0</v></c><c r="K96" s="200"><f>'CO2 factors'!G$7*K22</f><v>0</v></c><c r="L96" s="200"><f>'CO2 factors'!H$7*L22</f><v>0</v></c><c r="M96" s="68"><f t="shared" si="33"/><v>0</v></c><c r="N96" s="200"><f>'CO2 factors'!J$7*N22</f><v>0</v></c><c r="O96" s="200"><f>'CO2 factors'!K$7*O22</f><v>0</v></c><c r="P96" s="200"><f>'CO2 factors'!L$7*P22</f><v>0</v></c><c r="Q96" s="200"><f>'CO2 factors'!M$7*Q22</f><v>0</v></c><c r="R96" s="200"><f>'CO2 factors'!N$7*R22</f><v>0</v></c><c r="S96" s="200"><f>'CO2 factors'!O$7*S22</f><v>0</v></c><c r="T96" s="68"><f t="shared" si="35"/><v>0</v></c><c r="U96" s="68"><f t="shared" si="36"/><v>0</v></c></row><row r="97" spans="1:21" s="21" customFormat="1" ht="15.75"><c r="A97" s="22"/><c r="B97" s="197" t="str"><f>Translation!A65</f><v>Laundry machines and dryers</v></c><c r="C97" s="200"><f t="shared" si="39"/><v>0</v></c><c r="D97" s="200"><f t="shared" si="37"/><v>0</v></c><c r="E97" s="200"><f t="shared" si="38"/><v>0</v></c><c r="F97" s="68"><f t="shared" si="31"/><v>0</v></c><c r="G97" s="200"><f>'CO2 factors'!C$7*G23</f><v>0</v></c><c r="H97" s="200"><f>'CO2 factors'!D$7*H23</f><v>0</v></c><c r="I97" s="200"><f>'CO2 factors'!E$7*I23</f><v>0</v></c><c r="J97" s="200"><f>'CO2 factors'!F$7*J23</f><v>0</v></c><c r="K97" s="200"><f>'CO2 factors'!G$7*K23</f><v>0</v></c><c r="L97" s="200"><f>'CO2 factors'!H$7*L23</f><v>0</v></c><c r="M97" s="68"><f t="shared" si="33"/><v>0</v></c><c r="N97" s="200"><f>'CO2 factors'!J$7*N23</f><v>0</v></c><c r="O97" s="200"><f>'CO2 factors'!K$7*O23</f><v>0</v></c><c r="P97" s="200"><f>'CO2 factors'!L$7*P23</f><v>0</v></c><c r="Q97" s="200"><f>'CO2 factors'!M$7*Q23</f><v>0</v></c><c r="R97" s="200"><f>'CO2 factors'!N$7*R23</f><v>0</v></c><c r="S97" s="200"><f>'CO2 factors'!O$7*S23</f><v>0</v></c><c r="T97" s="68"><f t="shared" si="35"/><v>0</v></c><c r="U97" s="68"><f t="shared" si="36"/><v>0</v></c></row><row r="98" spans="1:21" s="21" customFormat="1" ht="15.75"><c r="A98" s="22"/><c r="B98" s="197" t="str"><f>Translation!A66</f><v>Dish washing</v></c><c r="C98" s="200"><f t="shared" si="39"/><v>0</v></c><c r="D98" s="200"><f t="shared" si="37"/><v>0</v></c><c r="E98" s="200"><f t="shared" si="38"/><v>0</v></c><c r="F98" s="68"><f t="shared" si="31"/><v>0</v></c><c r="G98" s="200"><f>'CO2 factors'!C$7*G24</f><v>0</v></c><c r="H98" s="200"><f>'CO2 factors'!D$7*H24</f><v>0</v></c><c r="I98" s="200"><f>'CO2 factors'!E$7*I24</f><v>0</v></c><c r="J98" s="200"><f>'CO2 factors'!F$7*J24</f><v>0</v></c><c r="K98" s="200"><f>'CO2 factors'!G$7*K24</f><v>0</v></c><c r="L98" s="200"><f>'CO2 factors'!H$7*L24</f><v>0</v></c><c r="M98" s="68"><f t="shared" si="33"/><v>0</v></c><c r="N98" s="200"><f>'CO2 factors'!J$7*N24</f><v>0</v></c><c r="O98" s="200"><f>'CO2 factors'!K$7*O24</f><v>0</v></c><c r="P98" s="200"><f>'CO2 factors'!L$7*P24</f><v>0</v></c><c r="Q98" s="200"><f>'CO2 factors'!M$7*Q24</f><v>0</v></c><c r="R98" s="200"><f>'CO2 factors'!N$7*R24</f><v>0</v></c><c r="S98" s="200"><f>'CO2 factors'!O$7*S24</f><v>0</v></c><c r="T98" s="68"><f t="shared" si="35"/><v>0</v></c><c r="U98" s="68"><f t="shared" si="36"/><v>0</v></c></row><row r="99" spans="1:21" s="21" customFormat="1" ht="15.75"><c r="A99" s="22"/><c r="B99" s="197" t="str"><f>Translation!A67</f><v>Tv sets</v></c><c r="C99" s="200"><f t="shared" si="39"/><v>0</v></c><c r="D99" s="200"><f t="shared" si="37"/><v>0</v></c><c r="E99" s="200"><f t="shared" si="38"/><v>0</v></c><c r="F99" s="68"><f t="shared" si="31"/><v>0</v></c><c r="G99" s="200"><f>'CO2 factors'!C$7*G25</f><v>0</v></c><c r="H99" s="200"><f>'CO2 factors'!D$7*H25</f><v>0</v></c><c r="I99" s="200"><f>'CO2 factors'!E$7*I25</f><v>0</v></c><c r="J99" s="200"><f>'CO2 factors'!F$7*J25</f><v>0</v></c><c r="K99" s="200"><f>'CO2 factors'!G$7*K25</f><v>0</v></c><c r="L99" s="200"><f>'CO2 factors'!H$7*L25</f><v>0</v></c><c r="M99" s="68"><f t="shared" si="33"/><v>0</v></c><c r="N99" s="200"><f>'CO2 factors'!J$7*N25</f><v>0</v></c><c r="O99" s="200"><f>'CO2 factors'!K$7*O25</f><v>0</v></c><c r="P99" s="200"><f>'CO2 factors'!L$7*P25</f><v>0</v></c><c r="Q99" s="200"><f>'CO2 factors'!M$7*Q25</f><v>0</v></c><c r="R99" s="200"><f>'CO2 factors'!N$7*R25</f><v>0</v></c><c r="S99" s="200"><f>'CO2 factors'!O$7*S25</f><v>0</v></c><c r="T99" s="68"><f t="shared" si="35"/><v>0</v></c><c r="U99" s="68"><f t="shared" si="36"/><v>0</v></c></row><row r="100" spans="1:21" s="21" customFormat="1" ht="15.75"><c r="A100" s="22"/><c r="B100" s="197" t="str"><f>Translation!A68</f><v>Other electric appliances</v></c><c r="C100" s="200"><f t="shared" si="39"/><v>4100.6250170517951</v></c><c r="D100" s="200"><f t="shared" si="37"/><v>0</v></c><c r="E100" s="200"><f t="shared" si="38"/><v>0</v></c><c r="F100" s="68"><f t="shared" si="31"/><v>4100.6250170517951</v></c><c r="G100" s="200"><f>'CO2 factors'!C$7*G26</f><v>0</v></c><c r="H100" s="200"><f>'CO2 factors'!D$7*H26</f><v>0</v></c><c r="I100" s="200"><f>'CO2 factors'!E$7*I26</f><v>0</v></c><c r="J100" s="200"><f>'CO2 factors'!F$7*J26</f><v>0</v></c><c r="K100" s="200"><f>'CO2 factors'!G$7*K26</f><v>0</v></c><c r="L100" s="200"><f>'CO2 factors'!H$7*L26</f><v>0</v></c><c r="M100" s="68"><f t="shared" si="33"/><v>0</v></c><c r="N100" s="200"><f>'CO2 factors'!J$7*N26</f><v>0</v></c><c r="O100" s="200"><f>'CO2 factors'!K$7*O26</f><v>0</v></c><c r="P100" s="200"><f>'CO2 factors'!L$7*P26</f><v>0</v></c><c r="Q100" s="200"><f>'CO2 factors'!M$7*Q26</f><v>0</v></c><c r="R100" s="200"><f>'CO2 factors'!N$7*R26</f><v>0</v></c><c r="S100" s="200"><f>'CO2 factors'!O$7*S26</f><v>0</v></c><c r="T100" s="68"><f t="shared" si="35"/><v>0</v></c><c r="U100" s="68"><f t="shared" si="36"/><v>4100.6250170517951</v></c></row><row r="101" spans="1:21" s="21" customFormat="1" ht="15.75"><c r="A101" s="22"/><c r="B101" s="70" t="str"><f>Translation!A69</f><v>PRIMARY SECTOR</v></c><c r="C101" s="68"><f>SUM(C102:C103)</f><v>1183.7138004661081</v></c><c r="D101" s="68"><f>SUM(D102:D103)</f><v>0</v></c><c r="E101" s="68"><f>SUM(E102:E103)</f><v>0</v></c><c r="F101" s="68"><f t="shared" si="31"/><v>1183.7138004661081</v></c><c r="G101" s="68"><f t="shared" ref="G101:L101" si="40">SUM(G102:G103)</f><v>90.360175197482135</v></c><c r="H101" s="68"><f t="shared" si="40"/><v>0</v></c><c r="I101" s="68"><f t="shared" si="40"/><v>0</v></c><c r="J101" s="68"><f t="shared" si="40"/><v>44.39154541189184</v></c><c r="K101" s="68"><f t="shared" si="40"/><v>0</v></c><c r="L101" s="68"><f t="shared" si="40"/><v>0</v></c><c r="M101" s="68"><f t="shared" si="33"/><v>134.75172060937399</v></c><c r="N101" s="68"><f t="shared" ref="N101:S101" si="41">SUM(N102:N103)</f><v>0</v></c><c r="O101" s="68"><f t="shared" si="41"/><v>0</v></c><c r="P101" s="68"><f t="shared" si="41"/><v>0</v></c><c r="Q101" s="68"><f t="shared" si="41"/><v>0</v></c><c r="R101" s="68"><f t="shared" si="41"/><v>0</v></c><c r="S101" s="68"><f t="shared" si="41"/><v>0</v></c><c r="T101" s="68"><f t="shared" si="35"/><v>0</v></c><c r="U101" s="68"><f t="shared" si="36"/><v>1318.465521075482</v></c></row><row r="102" spans="1:21" s="21" customFormat="1" ht="15.75"><c r="A102" s="22"/><c r="B102" s="198" t="str"><f>Translation!A70</f><v>Agriculture, forestry and fishing</v></c><c r="C102" s="200"><f>IF(C$48&gt;0, ($S$128+$V$137)/C$48,0)*C28</f><v>1183.7138004661081</v></c><c r="D102" s="200"><f>IF(D$48&gt;0, ($S$129)/D$48,0)*D28</f><v>0</v></c><c r="E102" s="200"><f>IF(E$48&gt;0, ($S$130)/E$48,0)*E28</f><v>0</v></c><c r="F102" s="68"><f t="shared" si="31"/><v>1183.7138004661081</v></c><c r="G102" s="200"><f>'CO2 factors'!C$7*G28</f><v>90.360175197482135</v></c><c r="H102" s="200"><f>'CO2 factors'!D$7*H28</f><v>0</v></c><c r="I102" s="200"><f>'CO2 factors'!E$7*I28</f><v>0</v></c><c r="J102" s="200"><f>'CO2 factors'!F$7*J28</f><v>44.39154541189184</v></c><c r="K102" s="200"><f>'CO2 factors'!G$7*K28</f><v>0</v></c><c r="L102" s="200"><f>'CO2 factors'!H$7*L28</f><v>0</v></c><c r="M102" s="68"><f t="shared" si="33"/><v>134.75172060937399</v></c><c r="N102" s="200"><f>'CO2 factors'!J$7*N28</f><v>0</v></c><c r="O102" s="200"><f>'CO2 factors'!K$7*O28</f><v>0</v></c><c r="P102" s="200"><f>'CO2 factors'!L$7*P28</f><v>0</v></c><c r="Q102" s="200"><f>'CO2 factors'!M$7*Q28</f><v>0</v></c><c r="R102" s="200"><f>'CO2 factors'!N$7*R28</f><v>0</v></c><c r="S102" s="200"><f>'CO2 factors'!O$7*S28</f><v>0</v></c><c r="T102" s="68"><f t="shared" si="35"/><v>0</v></c><c r="U102" s="68"><f t="shared" si="36"/><v>1318.465521075482</v></c></row><row r="103" spans="1:21" s="21" customFormat="1" ht="15.75"><c r="A103" s="22"/><c r="B103" s="198" t="str"><f>Translation!A71</f><v>Mining and quarrying</v></c><c r="C103" s="200"><f>IF(C$48&gt;0, ($S$128+$V$137)/C$48,0)*C29</f><v>0</v></c><c r="D103" s="200"><f>IF(D$48&gt;0, ($S$129)/D$48,0)*D29</f><v>0</v></c><c r="E103" s="200"><f>IF(E$48&gt;0, ($S$130)/E$48,0)*E29</f><v>0</v></c><c r="F103" s="68"><f t="shared" si="31"/><v>0</v></c><c r="G103" s="200"><f>'CO2 factors'!C$7*G29</f><v>0</v></c><c r="H103" s="200"><f>'CO2 factors'!D$7*H29</f><v>0</v></c><c r="I103" s="200"><f>'CO2 factors'!E$7*I29</f><v>0</v></c><c r="J103" s="200"><f>'CO2 factors'!F$7*J29</f><v>0</v></c><c r="K103" s="200"><f>'CO2 factors'!G$7*K29</f><v>0</v></c><c r="L103" s="200"><f>'CO2 factors'!H$7*L29</f><v>0</v></c><c r="M103" s="68"><f t="shared" si="33"/><v>0</v></c><c r="N103" s="200"><f>'CO2 factors'!J$7*N29</f><v>0</v></c><c r="O103" s="200"><f>'CO2 factors'!K$7*O29</f><v>0</v></c><c r="P103" s="200"><f>'CO2 factors'!L$7*P29</f><v>0</v></c><c r="Q103" s="200"><f>'CO2 factors'!M$7*Q29</f><v>0</v></c><c r="R103" s="200"><f>'CO2 factors'!N$7*R29</f><v>0</v></c><c r="S103" s="200"><f>'CO2 factors'!O$7*S29</f><v>0</v></c><c r="T103" s="68"><f t="shared" si="35"/><v>0</v></c><c r="U103" s="68"><f t="shared" si="36"/><v>0</v></c></row><row r="104" spans="1:21" s="21" customFormat="1" ht="15.75"><c r="A104" s="22"/><c r="B104" s="65" t="str"><f>Translation!A72</f><v>SECONDARY SECTOR</v></c><c r="C104" s="68"><f>SUM(C105:C107)</f><v>3602.4078472427373</v></c><c r="D104" s="68"><f>SUM(D105:D107)</f><v>0</v></c><c r="E104" s="68"><f>SUM(E105:E107)</f><v>0</v></c><c r="F104" s="68"><f t="shared" si="31"/><v>3602.4078472427373</v></c><c r="G104" s="68"><f t="shared" ref="G104:L104" si="42">SUM(G105:G107)</f><v>274.99400960051423</v></c><c r="H104" s="68"><f t="shared" si="42"/><v>0</v></c><c r="I104" s="68"><f t="shared" si="42"/><v>0</v></c><c r="J104" s="68"><f t="shared" si="42"/><v>135.09722661006538</v></c><c r="K104" s="68"><f t="shared" si="42"/><v>0</v></c><c r="L104" s="68"><f t="shared" si="42"/><v>0</v></c><c r="M104" s="68"><f t="shared" si="33"/><v>410.09123621057961</v></c><c r="N104" s="68"><f t="shared" ref="N104:S104" si="43">SUM(N105:N107)</f><v>0</v></c><c r="O104" s="68"><f t="shared" si="43"/><v>0</v></c><c r="P104" s="68"><f t="shared" si="43"/><v>0</v></c><c r="Q104" s="68"><f t="shared" si="43"/><v>0</v></c><c r="R104" s="68"><f t="shared" si="43"/><v>0</v></c><c r="S104" s="68"><f t="shared" si="43"/><v>0</v></c><c r="T104" s="68"><f t="shared" si="35"/><v>0</v></c><c r="U104" s="68"><f t="shared" si="36"/><v>4012.4990834533169</v></c></row><row r="105" spans="1:21" s="21" customFormat="1" ht="15.75"><c r="A105" s="22"/><c r="B105" s="198" t="str"><f>Translation!A73</f><v>Manufacturing</v></c><c r="C105" s="200"><f>IF(C$48&gt;0, ($S$128+$V$137)/C$48,0)*C31</f><v>1606.5951133381559</v></c><c r="D105" s="200"><f>IF(D$48&gt;0, ($S$129)/D$48,0)*D31</f><v>0</v></c><c r="E105" s="200"><f>IF(E$48&gt;0, ($S$130)/E$48,0)*E31</f><v>0</v></c><c r="F105" s="68"><f t="shared" si="31"/><v>1606.5951133381559</v></c><c r="G105" s="200"><f>'CO2 factors'!C$7*G31</f><v>122.641314019901</v></c><c r="H105" s="200"><f>'CO2 factors'!D$7*H31</f><v>0</v></c><c r="I105" s="200"><f>'CO2 factors'!E$7*I31</f><v>0</v></c><c r="J105" s="200"><f>'CO2 factors'!F$7*J31</f><v>60.250408421521371</v></c><c r="K105" s="200"><f>'CO2 factors'!G$7*K31</f><v>0</v></c><c r="L105" s="200"><f>'CO2 factors'!H$7*L31</f><v>0</v></c><c r="M105" s="68"><f t="shared" si="33"/><v>182.89172244142236</v></c><c r="N105" s="200"><f>'CO2 factors'!J$7*N31</f><v>0</v></c><c r="O105" s="200"><f>'CO2 factors'!K$7*O31</f><v>0</v></c><c r="P105" s="200"><f>'CO2 factors'!L$7*P31</f><v>0</v></c><c r="Q105" s="200"><f>'CO2 factors'!M$7*Q31</f><v>0</v></c><c r="R105" s="200"><f>'CO2 factors'!N$7*R31</f><v>0</v></c><c r="S105" s="200"><f>'CO2 factors'!O$7*S31</f><v>0</v></c><c r="T105" s="68"><f t="shared" si="35"/><v>0</v></c><c r="U105" s="68"><f t="shared" si="36"/><v>1789.4868357795783</v></c></row><row r="106" spans="1:21" s="21" customFormat="1" ht="30"><c r="A106" s="22"/><c r="B106" s="198" t="str"><f>Translation!A74</f><v>Water supply, sewerage, waste management and remediation activities</v></c><c r="C106" s="200"><f>IF(C$48&gt;0, ($S$128+$V$137)/C$48,0)*C32</f><v>1701.3854049164056</v></c><c r="D106" s="200"><f>IF(D$48&gt;0, ($S$129)/D$48,0)*D32</f><v>0</v></c><c r="E106" s="200"><f>IF(E$48&gt;0, ($S$130)/E$48,0)*E32</f><v>0</v></c><c r="F106" s="68"><f t="shared" si="31"/><v>1701.3854049164056</v></c><c r="G106" s="200"><f>'CO2 factors'!C$7*G32</f><v>129.87724161545523</v></c><c r="H106" s="200"><f>'CO2 factors'!D$7*H32</f><v>0</v></c><c r="I106" s="200"><f>'CO2 factors'!E$7*I32</f><v>0</v></c><c r="J106" s="200"><f>'CO2 factors'!F$7*J32</f><v>63.805226766585363</v></c><c r="K106" s="200"><f>'CO2 factors'!G$7*K32</f><v>0</v></c><c r="L106" s="200"><f>'CO2 factors'!H$7*L32</f><v>0</v></c><c r="M106" s="68"><f t="shared" si="33"/><v>193.68246838204061</v></c><c r="N106" s="200"><f>'CO2 factors'!J$7*N32</f><v>0</v></c><c r="O106" s="200"><f>'CO2 factors'!K$7*O32</f><v>0</v></c><c r="P106" s="200"><f>'CO2 factors'!L$7*P32</f><v>0</v></c><c r="Q106" s="200"><f>'CO2 factors'!M$7*Q32</f><v>0</v></c><c r="R106" s="200"><f>'CO2 factors'!N$7*R32</f><v>0</v></c><c r="S106" s="200"><f>'CO2 factors'!O$7*S32</f><v>0</v></c><c r="T106" s="68"><f t="shared" si="35"/><v>0</v></c><c r="U106" s="68"><f t="shared" si="36"/><v>1895.0678732984461</v></c></row><row r="107" spans="1:21" s="21" customFormat="1" ht="15.75"><c r="A107" s="22"/><c r="B107" s="198" t="str"><f>Translation!A75</f><v>Construction</v></c><c r="C107" s="200"><f>IF(C$48&gt;0, ($S$128+$V$137)/C$48,0)*C33</f><v>294.42732898817582</v></c><c r="D107" s="200"><f>IF(D$48&gt;0, ($S$129)/D$48,0)*D33</f><v>0</v></c><c r="E107" s="200"><f>IF(E$48&gt;0, ($S$130)/E$48,0)*E33</f><v>0</v></c><c r="F107" s="68"><f t="shared" si="31"/><v>294.42732898817582</v></c><c r="G107" s="80"><f>'CO2 factors'!C$7*G33</f><v>22.475453965158039</v></c><c r="H107" s="80"><f>'CO2 factors'!D$7*H33</f><v>0</v></c><c r="I107" s="80"><f>'CO2 factors'!E$7*I33</f><v>0</v></c><c r="J107" s="80"><f>'CO2 factors'!F$7*J33</f><v>11.04159142195863</v></c><c r="K107" s="80"><f>'CO2 factors'!G$7*K33</f><v>0</v></c><c r="L107" s="80"><f>'CO2 factors'!H$7*L33</f><v>0</v></c><c r="M107" s="68"><f t="shared" si="33"/><v>33.517045387116667</v></c><c r="N107" s="80"><f>'CO2 factors'!J$7*N33</f><v>0</v></c><c r="O107" s="80"><f>'CO2 factors'!K$7*O33</f><v>0</v></c><c r="P107" s="80"><f>'CO2 factors'!L$7*P33</f><v>0</v></c><c r="Q107" s="80"><f>'CO2 factors'!M$7*Q33</f><v>0</v></c><c r="R107" s="80"><f>'CO2 factors'!N$7*R33</f><v>0</v></c><c r="S107" s="80"><f>'CO2 factors'!O$7*S33</f><v>0</v></c><c r="T107" s="68"><f t="shared" si="35"/><v>0</v></c><c r="U107" s="68"><f t="shared" si="36"/><v>327.94437437529245</v></c></row><row r="108" spans="1:21" s="21" customFormat="1" ht="15.75"><c r="A108" s="22"/><c r="B108" s="65" t="str"><f>Translation!A76</f><v>TERTIARY SECTOR</v></c><c r="C108" s="68"><f>SUM(C109:C116)</f><v>56154.873951604066</v></c><c r="D108" s="68"><f>SUM(D109:D116)</f><v>0</v></c><c r="E108" s="68"><f>SUM(E109:E116)</f><v>0</v></c><c r="F108" s="68"><f t="shared" si="31"/><v>56154.873951604066</v></c><c r="G108" s="68"><f t="shared" ref="G108:L108" si="44">SUM(G109:G116)</f><v>4178.706094029093</v></c><c r="H108" s="68"><f t="shared" si="44"/><v>0</v></c><c r="I108" s="68"><f t="shared" si="44"/><v>0</v></c><c r="J108" s="68"><f t="shared" si="44"/><v>2052.8869153986616</v></c><c r="K108" s="68"><f t="shared" si="44"/><v>0</v></c><c r="L108" s="68"><f t="shared" si="44"/><v>0</v></c><c r="M108" s="68"><f t="shared" si="33"/><v>6231.5930094277546</v></c><c r="N108" s="68"><f t="shared" ref="N108:S108" si="45">SUM(N109:N116)</f><v>0</v></c><c r="O108" s="68"><f t="shared" si="45"/><v>0</v></c><c r="P108" s="68"><f t="shared" si="45"/><v>0</v></c><c r="Q108" s="68"><f t="shared" si="45"/><v>0</v></c><c r="R108" s="68"><f t="shared" si="45"/><v>0</v></c><c r="S108" s="68"><f t="shared" si="45"/><v>0</v></c><c r="T108" s="68"><f t="shared" si="35"/><v>0</v></c><c r="U108" s="68"><f t="shared" si="36"/><v>62386.466961031823</v></c></row><row r="109" spans="1:21" s="21" customFormat="1" ht="30"><c r="A109" s="22"/><c r="B109" s="198" t="str"><f>Translation!A77</f><v xml:space="preserve">Wholesale and retail trade; repair of motor vehicles and motorcycles </v></c><c r="C109" s="200"><f t="shared" ref="C109:C116" si="46">IF(C$48&gt;0, ($S$128+$V$137)/C$48,0)*C35</f><v>9904.5509694276443</v></c><c r="D109" s="200"><f t="shared" ref="D109:D116" si="47">IF(D$48&gt;0, ($S$129)/D$48,0)*D35</f><v>0</v></c><c r="E109" s="200"><f t="shared" ref="E109:E116" si="48">IF(E$48&gt;0, ($S$130)/E$48,0)*E35</f><v>0</v></c><c r="F109" s="68"><f t="shared" si="31"/><v>9904.5509694276443</v></c><c r="G109" s="200"><f>'CO2 factors'!C$7*G35</f><v>756.07546393178848</v></c><c r="H109" s="200"><f>'CO2 factors'!D$7*H35</f><v>0</v></c><c r="I109" s="200"><f>'CO2 factors'!E$7*I35</f><v>0</v></c><c r="J109" s="200"><f>'CO2 factors'!F$7*J35</f><v>371.43972129970405</v></c><c r="K109" s="200"><f>'CO2 factors'!G$7*K35</f><v>0</v></c><c r="L109" s="200"><f>'CO2 factors'!H$7*L35</f><v>0</v></c><c r="M109" s="68"><f t="shared" si="33"/><v>1127.5151852314925</v></c><c r="N109" s="200"><f>'CO2 factors'!J$7*N35</f><v>0</v></c><c r="O109" s="200"><f>'CO2 factors'!K$7*O35</f><v>0</v></c><c r="P109" s="200"><f>'CO2 factors'!L$7*P35</f><v>0</v></c><c r="Q109" s="200"><f>'CO2 factors'!M$7*Q35</f><v>0</v></c><c r="R109" s="200"><f>'CO2 factors'!N$7*R35</f><v>0</v></c><c r="S109" s="200"><f>'CO2 factors'!O$7*S35</f><v>0</v></c><c r="T109" s="68"><f t="shared" si="35"/><v>0</v></c><c r="U109" s="68"><f t="shared" si="36"/><v>11032.066154659136</v></c></row><row r="110" spans="1:21" s="21" customFormat="1" ht="15.75"><c r="A110" s="22"/><c r="B110" s="198" t="str"><f>Translation!A78</f><v>Accomodation and food service activities</v></c><c r="C110" s="200"><f t="shared" si="46"/><v>35287.529499822886</v></c><c r="D110" s="200"><f t="shared" si="47"/><v>0</v></c><c r="E110" s="200"><f t="shared" si="48"/><v>0</v></c><c r="F110" s="68"><f t="shared" si="31"/><v>35287.529499822886</v></c><c r="G110" s="200"><f>'CO2 factors'!C$7*G36</f><v>2693.714770103003</v></c><c r="H110" s="200"><f>'CO2 factors'!D$7*H36</f><v>0</v></c><c r="I110" s="200"><f>'CO2 factors'!E$7*I36</f><v>0</v></c><c r="J110" s="200"><f>'CO2 factors'!F$7*J36</f><v>1323.350262240785</v></c><c r="K110" s="200"><f>'CO2 factors'!G$7*K36</f><v>0</v></c><c r="L110" s="200"><f>'CO2 factors'!H$7*L36</f><v>0</v></c><c r="M110" s="68"><f t="shared" si="33"/><v>4017.0650323437881</v></c><c r="N110" s="200"><f>'CO2 factors'!J$7*N36</f><v>0</v></c><c r="O110" s="200"><f>'CO2 factors'!K$7*O36</f><v>0</v></c><c r="P110" s="200"><f>'CO2 factors'!L$7*P36</f><v>0</v></c><c r="Q110" s="200"><f>'CO2 factors'!M$7*Q36</f><v>0</v></c><c r="R110" s="200"><f>'CO2 factors'!N$7*R36</f><v>0</v></c><c r="S110" s="200"><f>'CO2 factors'!O$7*S36</f><v>0</v></c><c r="T110" s="68"><f t="shared" si="35"/><v>0</v></c><c r="U110" s="68"><f t="shared" si="36"/><v>39304.594532166673</v></c></row><row r="111" spans="1:21" s="21" customFormat="1" ht="15.75"><c r="A111" s="22"/><c r="B111" s="198" t="str"><f>Translation!A79</f><v>General public administration and social security</v></c><c r="C111" s="200"><f t="shared" si="46"/><v>545.13174688910942</v></c><c r="D111" s="200"><f t="shared" si="47"/><v>0</v></c><c r="E111" s="200"><f t="shared" si="48"/><v>0</v></c><c r="F111" s="68"><f t="shared" si="31"/><v>545.13174688910942</v></c><c r="G111" s="200"><f>'CO2 factors'!C$7*G37</f><v>41.61326845662618</v></c><c r="H111" s="200"><f>'CO2 factors'!D$7*H37</f><v>0</v></c><c r="I111" s="200"><f>'CO2 factors'!E$7*I37</f><v>0</v></c><c r="J111" s="200"><f>'CO2 factors'!F$7*J37</f><v>20.443489539416493</v></c><c r="K111" s="200"><f>'CO2 factors'!G$7*K37</f><v>0</v></c><c r="L111" s="200"><f>'CO2 factors'!H$7*L37</f><v>0</v></c><c r="M111" s="68"><f t="shared" si="33"/><v>62.056757996042677</v></c><c r="N111" s="200"><f>'CO2 factors'!J$7*N37</f><v>0</v></c><c r="O111" s="200"><f>'CO2 factors'!K$7*O37</f><v>0</v></c><c r="P111" s="200"><f>'CO2 factors'!L$7*P37</f><v>0</v></c><c r="Q111" s="200"><f>'CO2 factors'!M$7*Q37</f><v>0</v></c><c r="R111" s="200"><f>'CO2 factors'!N$7*R37</f><v>0</v></c><c r="S111" s="200"><f>'CO2 factors'!O$7*S37</f><v>0</v></c><c r="T111" s="68"><f t="shared" si="35"/><v>0</v></c><c r="U111" s="68"><f t="shared" si="36"/><v>607.18850488515204</v></c></row><row r="112" spans="1:21" s="21" customFormat="1" ht="15.75"><c r="A112" s="22"/><c r="B112" s="198" t="str"><f>Translation!A80</f><v>Defense, justice, police and fire departments</v></c><c r="C112" s="200"><f t="shared" si="46"/><v>77.687922657845732</v></c><c r="D112" s="200"><f t="shared" si="47"/><v>0</v></c><c r="E112" s="200"><f t="shared" si="48"/><v>0</v></c><c r="F112" s="68"><f t="shared" si="31"/><v>77.687922657845732</v></c><c r="G112" s="200"><f>'CO2 factors'!C$7*G38</f><v>5.9303982933435231</v></c><c r="H112" s="200"><f>'CO2 factors'!D$7*H38</f><v>0</v></c><c r="I112" s="200"><f>'CO2 factors'!E$7*I38</f><v>0</v></c><c r="J112" s="200"><f>'CO2 factors'!F$7*J38</f><v>2.9134465993919472</v></c><c r="K112" s="200"><f>'CO2 factors'!G$7*K38</f><v>0</v></c><c r="L112" s="200"><f>'CO2 factors'!H$7*L38</f><v>0</v></c><c r="M112" s="68"><f t="shared" si="33"/><v>8.8438448927354703</v></c><c r="N112" s="200"><f>'CO2 factors'!J$7*N38</f><v>0</v></c><c r="O112" s="200"><f>'CO2 factors'!K$7*O38</f><v>0</v></c><c r="P112" s="200"><f>'CO2 factors'!L$7*P38</f><v>0</v></c><c r="Q112" s="200"><f>'CO2 factors'!M$7*Q38</f><v>0</v></c><c r="R112" s="200"><f>'CO2 factors'!N$7*R38</f><v>0</v></c><c r="S112" s="200"><f>'CO2 factors'!O$7*S38</f><v>0</v></c><c r="T112" s="68"><f t="shared" si="35"/><v>0</v></c><c r="U112" s="68"><f t="shared" si="36"/><v>86.531767550581208</v></c></row><row r="113" spans="1:31" s="21" customFormat="1" ht="15.75"><c r="A113" s="22"/><c r="B113" s="198" t="str"><f>Translation!A81</f><v>Education</v></c><c r="C113" s="200"><f t="shared" si="46"/><v>720.72658902321064</v></c><c r="D113" s="200"><f t="shared" si="47"/><v>0</v></c><c r="E113" s="200"><f t="shared" si="48"/><v>0</v></c><c r="F113" s="68"><f t="shared" si="31"/><v>720.72658902321064</v></c><c r="G113" s="200"><f>'CO2 factors'!C$7*G39</f><v>55.017505775447518</v></c><c r="H113" s="200"><f>'CO2 factors'!D$7*H39</f><v>0</v></c><c r="I113" s="200"><f>'CO2 factors'!E$7*I39</f><v>0</v></c><c r="J113" s="200"><f>'CO2 factors'!F$7*J39</f><v>27.028634027569421</v></c><c r="K113" s="200"><f>'CO2 factors'!G$7*K39</f><v>0</v></c><c r="L113" s="200"><f>'CO2 factors'!H$7*L39</f><v>0</v></c><c r="M113" s="68"><f t="shared" si="33"/><v>82.046139803016942</v></c><c r="N113" s="200"><f>'CO2 factors'!J$7*N39</f><v>0</v></c><c r="O113" s="200"><f>'CO2 factors'!K$7*O39</f><v>0</v></c><c r="P113" s="200"><f>'CO2 factors'!L$7*P39</f><v>0</v></c><c r="Q113" s="200"><f>'CO2 factors'!M$7*Q39</f><v>0</v></c><c r="R113" s="200"><f>'CO2 factors'!N$7*R39</f><v>0</v></c><c r="S113" s="200"><f>'CO2 factors'!O$7*S39</f><v>0</v></c><c r="T113" s="68"><f t="shared" si="35"/><v>0</v></c><c r="U113" s="68"><f t="shared" si="36"/><v>802.77272882622754</v></c></row><row r="114" spans="1:31" s="21" customFormat="1" ht="15.75"><c r="A114" s="22"/><c r="B114" s="198" t="str"><f>Translation!A82</f><v>Human health and social work activities</v></c><c r="C114" s="200"><f t="shared" si="46"/><v>3318.7833434696977</v></c><c r="D114" s="200"><f t="shared" si="47"/><v>0</v></c><c r="E114" s="200"><f t="shared" si="48"/><v>0</v></c><c r="F114" s="68"><f t="shared" si="31"/><v>3318.7833434696977</v></c><c r="G114" s="200"><f>'CO2 factors'!C$7*G40</f><v>253.3432019127614</v></c><c r="H114" s="200"><f>'CO2 factors'!D$7*H40</f><v>0</v></c><c r="I114" s="200"><f>'CO2 factors'!E$7*I40</f><v>0</v></c><c r="J114" s="200"><f>'CO2 factors'!F$7*J40</f><v>124.46076192222576</v></c><c r="K114" s="200"><f>'CO2 factors'!G$7*K40</f><v>0</v></c><c r="L114" s="200"><f>'CO2 factors'!H$7*L40</f><v>0</v></c><c r="M114" s="68"><f t="shared" si="33"/><v>377.80396383498714</v></c><c r="N114" s="200"><f>'CO2 factors'!J$7*N40</f><v>0</v></c><c r="O114" s="200"><f>'CO2 factors'!K$7*O40</f><v>0</v></c><c r="P114" s="200"><f>'CO2 factors'!L$7*P40</f><v>0</v></c><c r="Q114" s="200"><f>'CO2 factors'!M$7*Q40</f><v>0</v></c><c r="R114" s="200"><f>'CO2 factors'!N$7*R40</f><v>0</v></c><c r="S114" s="200"><f>'CO2 factors'!O$7*S40</f><v>0</v></c><c r="T114" s="68"><f t="shared" si="35"/><v>0</v></c><c r="U114" s="68"><f t="shared" si="36"/><v>3696.5873073046851</v></c></row><row r="115" spans="1:31" s="21" customFormat="1" ht="15.75"><c r="A115" s="22"/><c r="B115" s="198" t="str"><f>Translation!A83</f><v>Other services</v></c><c r="C115" s="200"><f t="shared" si="46"/><v>4886.4319067572033</v></c><c r="D115" s="200"><f t="shared" si="47"/><v>0</v></c><c r="E115" s="200"><f t="shared" si="48"/><v>0</v></c><c r="F115" s="68"><f t="shared" si="31"/><v>4886.4319067572033</v></c><c r="G115" s="200"><f>'CO2 factors'!C$7*G41</f><v>373.01148555612332</v></c><c r="H115" s="200"><f>'CO2 factors'!D$7*H41</f><v>0</v></c><c r="I115" s="200"><f>'CO2 factors'!E$7*I41</f><v>0</v></c><c r="J115" s="200"><f>'CO2 factors'!F$7*J41</f><v>183.25059976956845</v></c><c r="K115" s="200"><f>'CO2 factors'!G$7*K41</f><v>0</v></c><c r="L115" s="200"><f>'CO2 factors'!H$7*L41</f><v>0</v></c><c r="M115" s="68"><f t="shared" si="33"/><v>556.26208532569171</v></c><c r="N115" s="200"><f>'CO2 factors'!J$7*N41</f><v>0</v></c><c r="O115" s="200"><f>'CO2 factors'!K$7*O41</f><v>0</v></c><c r="P115" s="200"><f>'CO2 factors'!L$7*P41</f><v>0</v></c><c r="Q115" s="200"><f>'CO2 factors'!M$7*Q41</f><v>0</v></c><c r="R115" s="200"><f>'CO2 factors'!N$7*R41</f><v>0</v></c><c r="S115" s="200"><f>'CO2 factors'!O$7*S41</f><v>0</v></c><c r="T115" s="68"><f t="shared" si="35"/><v>0</v></c><c r="U115" s="68"><f t="shared" si="36"/><v>5442.6939920828954</v></c></row><row r="116" spans="1:31" s="21" customFormat="1" ht="15.75"><c r="A116" s="22"/><c r="B116" s="198" t="str"><f>Translation!A84</f><v>Public lighting</v></c><c r="C116" s="200"><f t="shared" si="46"/><v>1414.0319735564731</v></c><c r="D116" s="200"><f t="shared" si="47"/><v>0</v></c><c r="E116" s="200"><f t="shared" si="48"/><v>0</v></c><c r="F116" s="68"><f t="shared" si="31"/><v>1414.0319735564731</v></c><c r="G116" s="200"><f>'CO2 factors'!C$7*G42</f><v>0</v></c><c r="H116" s="200"><f>'CO2 factors'!D$7*H42</f><v>0</v></c><c r="I116" s="200"><f>'CO2 factors'!E$7*I42</f><v>0</v></c><c r="J116" s="200"><f>'CO2 factors'!F$7*J42</f><v>0</v></c><c r="K116" s="200"><f>'CO2 factors'!G$7*K42</f><v>0</v></c><c r="L116" s="200"><f>'CO2 factors'!H$7*L42</f><v>0</v></c><c r="M116" s="68"><f t="shared" si="33"/><v>0</v></c><c r="N116" s="200"><f>'CO2 factors'!J$7*N42</f><v>0</v></c><c r="O116" s="200"><f>'CO2 factors'!K$7*O42</f><v>0</v></c><c r="P116" s="200"><f>'CO2 factors'!L$7*P42</f><v>0</v></c><c r="Q116" s="200"><f>'CO2 factors'!M$7*Q42</f><v>0</v></c><c r="R116" s="200"><f>'CO2 factors'!N$7*R42</f><v>0</v></c><c r="S116" s="200"><f>'CO2 factors'!O$7*S42</f><v>0</v></c><c r="T116" s="68"><f t="shared" si="35"/><v>0</v></c><c r="U116" s="68"><f t="shared" si="36"/><v>1414.0319735564731</v></c></row><row r="117" spans="1:31" s="21" customFormat="1" ht="15.75"><c r="A117" s="22"/><c r="B117" s="65" t="str"><f>Translation!A85</f><v>TRANSPORTS</v></c><c r="C117" s="68"><f>SUM(C118:C121)</f><v>16.208271633651272</v></c><c r="D117" s="68"><f>SUM(D118:D121)</f><v>0</v></c><c r="E117" s="68"><f>SUM(E118:E121)</f><v>0</v></c><c r="F117" s="68"><f t="shared" si="31"/><v>16.208271633651272</v></c><c r="G117" s="68"><f t="shared" ref="G117:L117" si="49">SUM(G118:G121)</f><v>0</v></c><c r="H117" s="68"><f t="shared" si="49"/><v>28029.460120475702</v></c><c r="I117" s="68"><f t="shared" si="49"/><v>33803.274165631214</v></c><c r="J117" s="68"><f t="shared" si="49"/><v>0</v></c><c r="K117" s="68"><f t="shared" si="49"/><v>0</v></c><c r="L117" s="68"><f t="shared" si="49"/><v>0</v></c><c r="M117" s="68"><f t="shared" si="33"/><v>61832.734286106919</v></c><c r="N117" s="68"><f t="shared" ref="N117:S117" si="50">SUM(N118:N121)</f><v>0</v></c><c r="O117" s="68"><f t="shared" si="50"/><v>0</v></c><c r="P117" s="68"><f t="shared" si="50"/><v>0</v></c><c r="Q117" s="68"><f t="shared" si="50"/><v>0</v></c><c r="R117" s="68"><f t="shared" si="50"/><v>0</v></c><c r="S117" s="68"><f t="shared" si="50"/><v>0</v></c><c r="T117" s="68"><f t="shared" si="35"/><v>0</v></c><c r="U117" s="68"><f t="shared" si="36"/><v>61848.942557740571</v></c></row><row r="118" spans="1:31" s="21" customFormat="1" ht="30"><c r="A118" s="22"/><c r="B118" s="198" t="str"><f>Translation!A86</f><v>Passenger road transport and other passenger road transport services (public transports, taxi, tourism, school buses, etc.)</v></c><c r="C118" s="200"><f>IF(C$48&gt;0, ($S$128+$V$137)/C$48,0)*C44</f><v>16.208271633651272</v></c><c r="D118" s="200"><f>IF(D$48&gt;0, ($S$129)/D$48,0)*D44</f><v>0</v></c><c r="E118" s="200"><f>IF(E$48&gt;0, ($S$130)/E$48,0)*E44</f><v>0</v></c><c r="F118" s="68"><f t="shared" si="31"/><v>16.208271633651272</v></c><c r="G118" s="200"><f>'CO2 factors'!C$7*G44</f><v>0</v></c><c r="H118" s="200"><f>'CO2 factors'!D$7*H44</f><v>561.08810002062501</v></c><c r="I118" s="200"><f>'CO2 factors'!E$7*I44</f><v>676.66714929750151</v></c><c r="J118" s="200"><f>'CO2 factors'!F$7*J44</f><v>0</v></c><c r="K118" s="200"><f>'CO2 factors'!G$7*K44</f><v>0</v></c><c r="L118" s="200"><f>'CO2 factors'!H$7*L44</f><v>0</v></c><c r="M118" s="68"><f t="shared" si="33"/><v>1237.7552493181265</v></c><c r="N118" s="200"><f>'CO2 factors'!J$7*N44</f><v>0</v></c><c r="O118" s="200"><f>'CO2 factors'!K$7*O44</f><v>0</v></c><c r="P118" s="200"><f>'CO2 factors'!L$7*P44</f><v>0</v></c><c r="Q118" s="200"><f>'CO2 factors'!M$7*Q44</f><v>0</v></c><c r="R118" s="200"><f>'CO2 factors'!N$7*R44</f><v>0</v></c><c r="S118" s="200"><f>'CO2 factors'!O$7*S44</f><v>0</v></c><c r="T118" s="68"><f t="shared" si="35"/><v>0</v></c><c r="U118" s="68"><f t="shared" si="36"/><v>1253.9635209517778</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1"/><v>0</v></c><c r="G119" s="200"><f>'CO2 factors'!C$7*G45</f><v>0</v></c><c r="H119" s="200"><f>'CO2 factors'!D$7*H45</f><v>8977.4096003300001</v></c><c r="I119" s="200"><f>'CO2 factors'!E$7*I45</f><v>10826.674388760024</v></c><c r="J119" s="200"><f>'CO2 factors'!F$7*J45</f><v>0</v></c><c r="K119" s="200"><f>'CO2 factors'!G$7*K45</f><v>0</v></c><c r="L119" s="200"><f>'CO2 factors'!H$7*L45</f><v>0</v></c><c r="M119" s="68"><f t="shared" si="33"/><v>19804.083989090024</v></c><c r="N119" s="200"><f>'CO2 factors'!J$7*N45</f><v>0</v></c><c r="O119" s="200"><f>'CO2 factors'!K$7*O45</f><v>0</v></c><c r="P119" s="200"><f>'CO2 factors'!L$7*P45</f><v>0</v></c><c r="Q119" s="200"><f>'CO2 factors'!M$7*Q45</f><v>0</v></c><c r="R119" s="200"><f>'CO2 factors'!N$7*R45</f><v>0</v></c><c r="S119" s="200"><f>'CO2 factors'!O$7*S45</f><v>0</v></c><c r="T119" s="68"><f t="shared" si="35"/><v>0</v></c><c r="U119" s="68"><f t="shared" si="36"/><v>19804.083989090024</v></c></row><row r="120" spans="1:31" s="21" customFormat="1" ht="15.75"><c r="A120" s="22"/><c r="B120" s="198" t="str"><f>Translation!A88</f><v>Other fleet for public and private services</v></c><c r="C120" s="200"><f>IF(C$48&gt;0, ($S$128+$V$137)/C$48,0)*C46</f><v>0</v></c><c r="D120" s="200"><f>IF(D$48&gt;0, ($S$129)/D$48,0)*D46</f><v>0</v></c><c r="E120" s="200"><f>IF(E$48&gt;0, ($S$130)/E$48,0)*E46</f><v>0</v></c><c r="F120" s="68"><f t="shared" si="31"/><v>0</v></c><c r="G120" s="200"><f>'CO2 factors'!C$7*G46</f><v>0</v></c><c r="H120" s="200"><f>'CO2 factors'!D$7*H46</f><v>0</v></c><c r="I120" s="200"><f>'CO2 factors'!E$7*I46</f><v>0</v></c><c r="J120" s="200"><f>'CO2 factors'!F$7*J46</f><v>0</v></c><c r="K120" s="200"><f>'CO2 factors'!G$7*K46</f><v>0</v></c><c r="L120" s="200"><f>'CO2 factors'!H$7*L46</f><v>0</v></c><c r="M120" s="68"><f t="shared" si="33"/><v>0</v></c><c r="N120" s="200"><f>'CO2 factors'!J$7*N46</f><v>0</v></c><c r="O120" s="200"><f>'CO2 factors'!K$7*O46</f><v>0</v></c><c r="P120" s="200"><f>'CO2 factors'!L$7*P46</f><v>0</v></c><c r="Q120" s="200"><f>'CO2 factors'!M$7*Q46</f><v>0</v></c><c r="R120" s="200"><f>'CO2 factors'!N$7*R46</f><v>0</v></c><c r="S120" s="200"><f>'CO2 factors'!O$7*S46</f><v>0</v></c><c r="T120" s="68"><f t="shared" si="35"/><v>0</v></c><c r="U120" s="68"><f t="shared" si="36"/><v>0</v></c></row><row r="121" spans="1:31" s="21" customFormat="1" ht="15.75"><c r="A121" s="22"/><c r="B121" s="197" t="str"><f>Translation!A89</f><v>Private transports</v></c><c r="C121" s="200"><f>IF(C$48&gt;0, ($S$128+$V$137)/C$48,0)*C47</f><v>0</v></c><c r="D121" s="200"><f>IF(D$48&gt;0, ($S$129)/D$48,0)*D47</f><v>0</v></c><c r="E121" s="200"><f>IF(E$48&gt;0, ($S$130)/E$48,0)*E47</f><v>0</v></c><c r="F121" s="68"><f t="shared" si="31"/><v>0</v></c><c r="G121" s="200"><f>'CO2 factors'!C$7*G47</f><v>0</v></c><c r="H121" s="200"><f>'CO2 factors'!D$7*H47</f><v>18490.962420125077</v></c><c r="I121" s="200"><f>'CO2 factors'!E$7*I47</f><v>22299.932627573686</v></c><c r="J121" s="200"><f>'CO2 factors'!F$7*J47</f><v>0</v></c><c r="K121" s="200"><f>'CO2 factors'!G$7*K47</f><v>0</v></c><c r="L121" s="200"><f>'CO2 factors'!H$7*L47</f><v>0</v></c><c r="M121" s="68"><f t="shared" si="33"/><v>40790.895047698767</v></c><c r="N121" s="200"><f>'CO2 factors'!J$7*N47</f><v>0</v></c><c r="O121" s="200"><f>'CO2 factors'!K$7*O47</f><v>0</v></c><c r="P121" s="200"><f>'CO2 factors'!L$7*P47</f><v>0</v></c><c r="Q121" s="200"><f>'CO2 factors'!M$7*Q47</f><v>0</v></c><c r="R121" s="200"><f>'CO2 factors'!N$7*R47</f><v>0</v></c><c r="S121" s="200"><f>'CO2 factors'!O$7*S47</f><v>0</v></c><c r="T121" s="68"><f t="shared" si="35"/><v>0</v></c><c r="U121" s="68"><f t="shared" si="36"/><v>40790.895047698767</v></c></row><row r="122" spans="1:31" s="21" customFormat="1" ht="15.75"><c r="A122" s="22"/><c r="B122" s="77" t="str"><f>Translation!A117</f><v>TOTAL FOR INTERNAL MARKET</v></c><c r="C122" s="69"><f>C91+C101+C104+C108+C117</f><v>83738.453965678738</v></c><c r="D122" s="69"><f>D91+D101+D104+D108+D117</f><v>0</v></c><c r="E122" s="69"><f>E91+E101+E104+E108+E117</f><v>0</v></c><c r="F122" s="68"><f t="shared" si="31"/><v>83738.453965678738</v></c><c r="G122" s="69"><f t="shared" ref="G122:L122" si="51">G91+G101+G104+G108+G117</f><v>9823.3273824292537</v></c><c r="H122" s="69"><f t="shared" si="51"/><v>28029.460120475702</v></c><c r="I122" s="69"><f t="shared" si="51"/><v>33803.274165631214</v></c><c r="J122" s="69"><f t="shared" si="51"/><v>2882.6788801653497</v></c><c r="K122" s="69"><f t="shared" si="51"/><v>0</v></c><c r="L122" s="69"><f t="shared" si="51"/><v>0</v></c><c r="M122" s="68"><f t="shared" si="33"/><v>74538.740548701506</v></c><c r="N122" s="69"><f t="shared" ref="N122:S122" si="52">N91+N101+N104+N108+N117</f><v>0</v></c><c r="O122" s="69"><f t="shared" si="52"/><v>0</v></c><c r="P122" s="69"><f t="shared" si="52"/><v>0</v></c><c r="Q122" s="69"><f t="shared" si="52"/><v>0</v></c><c r="R122" s="69"><f t="shared" si="52"/><v>0</v></c><c r="S122" s="69"><f t="shared" si="52"/><v>0</v></c><c r="T122" s="68"><f t="shared" si="35"/><v>0</v></c><c r="U122" s="68"><f>F122+M122+T122</f><v>158277.19451438024</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25" t="str"><f>Translation!A120</f><v>PRODUCTION SECTOR</v></c><c r="C125" s="299" t="str"><f>Translation!A142</f><v>PRIMARY ENERGY SOURCE</v></c><c r="D125" s="300"/><c r="E125" s="300"/><c r="F125" s="300"/><c r="G125" s="300"/><c r="H125" s="300"/><c r="I125" s="300"/><c r="J125" s="300"/><c r="K125" s="300"/><c r="L125" s="300"/><c r="M125" s="300"/><c r="N125" s="300"/><c r="O125" s="300"/><c r="P125" s="300"/><c r="Q125" s="300"/><c r="R125" s="300"/><c r="S125" s="301"/><c r="T125" s="64"/><c r="U125" s="302" t="str"><f>Translation!A122</f><v>Energy product</v></c><c r="V125" s="303"/><c r="W125" s="308" t="str"><f>Translation!A149</f><v>CO2 EMISSION FACTORS</v></c><c r="X125" s="61"/><c r="Y125" s="61"/><c r="Z125" s="61"/><c r="AA125" s="61"/><c r="AB125" s="61"/><c r="AC125" s="61"/><c r="AD125" s="61"/><c r="AE125" s="61"/></row><row r="126" spans="1:31" s="55" customFormat="1" ht="15" customHeight="1"><c r="B126" s="326"/><c r="C126" s="299" t="str"><f>Translation!A98</f><v>Fossil fuels</v></c><c r="D126" s="300"/><c r="E126" s="300"/><c r="F126" s="300"/><c r="G126" s="300"/><c r="H126" s="300"/><c r="I126" s="301"/><c r="J126" s="299" t="str"><f>Translation!A107</f><v>Renewable energy sources</v></c><c r="K126" s="300"/><c r="L126" s="300"/><c r="M126" s="300"/><c r="N126" s="300"/><c r="O126" s="300"/><c r="P126" s="300"/><c r="Q126" s="300"/><c r="R126" s="301"/><c r="S126" s="311" t="str"><f>Translation!A118</f><v>TOTAL</v></c><c r="T126" s="64"/><c r="U126" s="304"/><c r="V126" s="305"/><c r="W126" s="309"/><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1"/><c r="T127" s="64"/><c r="U127" s="306"/><c r="V127" s="307"/><c r="W127" s="310"/><c r="X127" s="61"/><c r="Y127" s="61"/><c r="Z127" s="61"/><c r="AA127" s="61"/><c r="AB127" s="61"/><c r="AC127" s="61"/><c r="AD127" s="61"/><c r="AE127" s="61"/></row><row r="128" spans="1:31" s="55" customFormat="1" ht="15.75"><c r="B128" s="199" t="str"><f>Translation!A123</f><v>Electricity</v></c><c r="C128" s="204"><f>'CO2 factors'!C$7*C67</f><v>30211.775050924054</v></c><c r="D128" s="204"><f>'CO2 factors'!D$7*D67</f><v>1839.9273559715564</v></c><c r="E128" s="204"><f>'CO2 factors'!E$7*E67</f><v>0</v></c><c r="F128" s="204"><f>'CO2 factors'!F$7*F67</f><v>0</v></c><c r="G128" s="204"><f>'CO2 factors'!G$7*G67</f><v>51686.751558783159</v></c><c r="H128" s="204"><f>'CO2 factors'!H$7*H67</f><v>0</v></c><c r="I128" s="63"><f>SUM(C128:H128)</f><v>83738.453965678767</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83738.453965678767</v></c><c r="T128" s="62"/><c r="U128" s="313" t="str"><f>Translation!A123</f><v>Electricity</v></c><c r="V128" s="314"/><c r="W128" s="205"><f>IF(S58&gt;0,S128/S58,0)</f><v>0.54866811068253885</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2" t="str"><f>Translation!A124</f><v>Heat</v></c><c r="V129" s="312"/><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2" t="str"><f>Translation!A125</f><v>Cold</v></c><c r="V130" s="312"/><c r="W130" s="205"><f>IF(S60&gt;0,S130/S60,0)</f><v>0</v></c><c r="X130" s="61"/><c r="Y130" s="61"/><c r="Z130" s="61"/><c r="AA130" s="61"/><c r="AB130" s="61"/><c r="AC130" s="61"/><c r="AD130" s="61"/><c r="AE130" s="61"/></row><row r="131" spans="1:31" s="55" customFormat="1" ht="15.75"><c r="B131" s="74" t="str"><f>Translation!A118</f><v>TOTAL</v></c><c r="C131" s="57"><f t="shared" ref="C131:S131" si="53">SUM(C128:C130)</f><v>30211.775050924054</v></c><c r="D131" s="57"><f t="shared" si="53"/><v>1839.9273559715564</v></c><c r="E131" s="57"><f t="shared" si="53"/><v>0</v></c><c r="F131" s="57"><f t="shared" si="53"/><v>0</v></c><c r="G131" s="57"><f t="shared" si="53"/><v>51686.751558783159</v></c><c r="H131" s="57"><f t="shared" si="53"/><v>0</v></c><c r="I131" s="57"><f t="shared" si="53"/><v>83738.453965678767</v></c><c r="J131" s="57"><f t="shared" si="53"/><v>0</v></c><c r="K131" s="57"><f t="shared" si="53"/><v>0</v></c><c r="L131" s="57"><f t="shared" si="53"/><v>0</v></c><c r="M131" s="57"><f t="shared" si="53"/><v>0</v></c><c r="N131" s="57"><f t="shared" si="53"/><v>0</v></c><c r="O131" s="57"><f t="shared" si="53"/><v>0</v></c><c r="P131" s="57"><f t="shared" si="53"/><v>0</v></c><c r="Q131" s="57"><f t="shared" si="53"/><v>0</v></c><c r="R131" s="57"><f t="shared" si="53"/><v>0</v></c><c r="S131" s="57"><f t="shared" si="53"/><v>83738.453965678767</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37" t="str"><f>Translation!A122</f><v>Energy product</v></c><c r="C134" s="296" t="str"><f>Translation!A142</f><v>PRIMARY ENERGY SOURCE</v></c><c r="D134" s="297"/><c r="E134" s="297"/><c r="F134" s="297"/><c r="G134" s="297"/><c r="H134" s="297"/><c r="I134" s="297"/><c r="J134" s="297"/><c r="K134" s="297"/><c r="L134" s="297"/><c r="M134" s="297"/><c r="N134" s="297"/><c r="O134" s="297"/><c r="P134" s="297"/><c r="Q134" s="297"/><c r="R134" s="297"/><c r="S134" s="297"/><c r="T134" s="297"/><c r="U134" s="297"/><c r="V134" s="297"/><c r="W134" s="297"/><c r="X134" s="297"/><c r="Y134" s="298"/><c r="AA134" s="308" t="str"><f>Translation!A150</f><v>CO2 emissions from ETS installations included in the calculations for final use of energy</v></c><c r="AB134" s="308" t="str"><f>Translation!A151</f><v>CO2 emissions from ETS installations included in the calculations for secondary energy production</v></c></row><row r="135" spans="1:31" s="55" customFormat="1" ht="15" customHeight="1"><c r="B135" s="338"/><c r="C135" s="296" t="str"><f>Translation!A98</f><v>Fossil fuels</v></c><c r="D135" s="297"/><c r="E135" s="297"/><c r="F135" s="297"/><c r="G135" s="297"/><c r="H135" s="297"/><c r="I135" s="298"/><c r="J135" s="296" t="str"><f>Translation!A107</f><v>Renewable energy sources</v></c><c r="K135" s="297"/><c r="L135" s="297"/><c r="M135" s="297"/><c r="N135" s="297"/><c r="O135" s="297"/><c r="P135" s="297"/><c r="Q135" s="297"/><c r="R135" s="298"/><c r="S135" s="315" t="str"><f>Translation!A123</f><v>Electricity</v></c><c r="T135" s="316"/><c r="U135" s="316"/><c r="V135" s="317"/><c r="W135" s="115" t="str"><f>Translation!A124</f><v>Heat</v></c><c r="X135" s="115" t="str"><f>Translation!A125</f><v>Cold</v></c><c r="Y135" s="269" t="str"><f>Translation!A118</f><v>TOTAL</v></c><c r="AA135" s="309"/><c r="AB135" s="309"/></row><row r="136" spans="1:31" s="55" customFormat="1" ht="90.75" customHeight="1"><c r="B136" s="339"/><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69"/><c r="AA136" s="310"/><c r="AB136" s="310"/></row><row r="137" spans="1:31" s="55" customFormat="1" ht="15.75"><c r="B137" s="114" t="str"><f>Translation!A118</f><v>TOTAL</v></c><c r="C137" s="201"><f>'CO2 factors'!C$7*C76</f><v>40035.102433353306</v></c><c r="D137" s="201"><f>'CO2 factors'!D$7*D76</f><v>29869.387476447257</v></c><c r="E137" s="201"><f>'CO2 factors'!E$7*E76</f><v>33803.274165631214</v></c><c r="F137" s="201"><f>'CO2 factors'!F$7*F76</f><v>2882.6788801653488</v></c><c r="G137" s="201"><f>'CO2 factors'!G$7*G76</f><v>51686.751558783159</v></c><c r="H137" s="201"><f>'CO2 factors'!H$7*H76</f><v>0</v></c><c r="I137" s="57"><f>SUM(C137:H137)</f><v>158277.19451438027</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158277.19451438027</v></c><c r="AA137" s="164"/><c r="AB137" s="164"/></row><row r="138" spans="1:31" s="55" customFormat="1" ht="15"><c r="B138" s="56"/></row><row r="139" spans="1:31" ht="15.75" customHeight="1"><c r="A139" s="154"/><c r="B139" s="155"/></row><row r="140" spans="1:31" ht="18.75" customHeight="1"><c r="A140" s="153"/><c r="B140" s="285" t="str"><f>Translation!A155</f><v xml:space="preserve">Go to the next sheet dedicated to your Island Sustainable Energy Action Plan </v></c><c r="C140" s="286"/><c r="D140" s="286"/><c r="E140" s="286"/><c r="F140" s="286"/><c r="G140" s="286"/><c r="H140" s="286"/><c r="I140" s="286"/><c r="J140" s="286"/><c r="K140" s="286"/><c r="L140" s="286"/><c r="M140" s="286"/><c r="N140" s="286"/><c r="O140" s="286"/><c r="P140" s="286"/><c r="Q140" s="286"/><c r="R140" s="286"/><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8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87"/><c r="D142" s="287"/><c r="E142" s="287"/><c r="F142" s="287"/><c r="G142" s="287"/><c r="H142" s="287"/><c r="I142" s="287"/><c r="J142" s="287"/><c r="K142" s="287"/><c r="L142" s="287"/><c r="M142" s="287"/><c r="N142" s="287"/><c r="O142" s="287"/><c r="P142" s="287"/><c r="Q142" s="287"/><c r="R142" s="287"/><c r="S142" s="287"/><c r="T142" s="287"/><c r="U142" s="287"/></row><row r="143" spans="1:31" ht="12.75" customHeight="1"><c r="B143" s="287"/><c r="C143" s="287"/><c r="D143" s="287"/><c r="E143" s="287"/><c r="F143" s="287"/><c r="G143" s="287"/><c r="H143" s="287"/><c r="I143" s="287"/><c r="J143" s="287"/><c r="K143" s="287"/><c r="L143" s="287"/><c r="M143" s="287"/><c r="N143" s="287"/><c r="O143" s="287"/><c r="P143" s="287"/><c r="Q143" s="287"/><c r="R143" s="287"/><c r="S143" s="287"/><c r="T143" s="287"/><c r="U143" s="287"/></row><row r="144" spans="1:31" ht="12.75" customHeight="1"><c r="B144" s="287"/><c r="C144" s="287"/><c r="D144" s="287"/><c r="E144" s="287"/><c r="F144" s="287"/><c r="G144" s="287"/><c r="H144" s="287"/><c r="I144" s="287"/><c r="J144" s="287"/><c r="K144" s="287"/><c r="L144" s="287"/><c r="M144" s="287"/><c r="N144" s="287"/><c r="O144" s="287"/><c r="P144" s="287"/><c r="Q144" s="287"/><c r="R144" s="287"/><c r="S144" s="287"/><c r="T144" s="287"/><c r="U144" s="287"/></row></sheetData><mergeCells count="70"><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 ref="AA134:AA136"/><mergeCell ref="AB134:AB136"/><mergeCell ref="C135:I135"/><mergeCell ref="J135:R135"/><mergeCell ref="S135:V135"/><mergeCell ref="Y135:Y136"/><mergeCell ref="S126:S127"/><mergeCell ref="B88:B89"/><mergeCell ref="C88:U88"/><mergeCell ref="C89:F89"/><mergeCell ref="G89:M89"/><mergeCell ref="N89:T89"/><mergeCell ref="U89:U90"/><mergeCell ref="C80:I80"/><mergeCell ref="J80:R80"/><mergeCell ref="S80:S81"/><mergeCell ref="C64:S64"/><mergeCell ref="T64:T66"/><mergeCell ref="C65:I65"/><mergeCell ref="J65:R65"/><mergeCell ref="S65:S66"/><mergeCell ref="C73:Y73"/><mergeCell ref="C74:I74"/><mergeCell ref="J74:R74"/><mergeCell ref="S74:V74"/><mergeCell ref="Y74:Y75"/><mergeCell ref="C79:S79"/><mergeCell ref="B55:B56"/><mergeCell ref="C55:S55"/><mergeCell ref="T55:V55"/><mergeCell ref="W55:AB55"/><mergeCell ref="U56:U57"/><mergeCell ref="V56:V57"/><mergeCell ref="W56:X56"/><mergeCell ref="Y56:Z56"/><mergeCell ref="AA56:AA57"/><mergeCell ref="AC55:AC57"/><mergeCell ref="AD55:AD57"/><mergeCell ref="C56:I56"/><mergeCell ref="J56:R56"/><mergeCell ref="S56:S57"/><mergeCell ref="T56:T57"/><mergeCell ref="AB56:AB57"/><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25"/><sheetViews><sheetView showGridLines="0" showZeros="0" tabSelected="1" topLeftCell="C79" zoomScale="70" zoomScaleNormal="70" workbookViewID_"0"><selection activeCell="M119" sqref="M119"/></sheetView></sheetViews><sheetFormatPr defaultColWidth="11.42578125" defaultRowHeight="12.75"/><cols><col min="1" max="1" width="6.7109375" style="21" customWidth="1"/><col min="2" max="2" width="35.5703125" style="21" customWidth="1"/><col min="3" max="3" width="57.7109375" style="21" customWidth="1"/><col min="4" max="4" width="27.5703125" style="21" bestFit="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66" t="str"><f>Translation!$A$31</f><v>Island  Sustainable Energy Action Plan (ISEAP)</v></c><c r="B1" s="266"/><c r="C1" s="266"/><c r="D1" s="266"/><c r="E1" s="266"/><c r="F1" s="266"/><c r="G1" s="266"/><c r="H1" s="266"/><c r="I1" s="266"/><c r="J1" s="266"/><c r="K1" s="266"/><c r="L1" s="266"/><c r="M1" s="266"/></row><row r="2" spans="1:13" ht="28.5" customHeight="1"><c r="A2" s="82"/><c r="B2" s="262" t="s"><v>1018</v></c><c r="C2" s="262"/><c r="D2" s="84" t="str"><f>Translation!$A$10</f><v>Island</v></c><c r="E2" s="85" t="str"><f>'Start here'!$B$5</f><v>Cyprus - Paralimni</v></c><c r="F2" s="86"/><c r="G2" s="86"/><c r="H2" s="87"/><c r="I2" s="87"/><c r="J2" s="87"/><c r="K2" s="87"/><c r="L2" s="87"/><c r="M2" s="87"/></row><row r="3" spans="1:13" ht="38.25" customHeight="1"><c r="A3" s="22"/><c r="B3" s="23"/><c r="C3" s="24"/><c r="E3" s="25"/><c r="F3" s="25"/><c r="H3" s="26"/><c r="L3" s="27"/><c r="M3" s="27"/></row><row r="4" spans="1:13" ht="15.75"><c r="A4" s="29"/><c r="B4" s="30"/><c r="L4" s="364" t="str"><f>Translation!$A$53</f><v>Mandatory fields</v></c><c r="M4" s="364"/></row><row r="5" spans="1:13" s="107" customFormat="1" ht="36"><c r="A5" s="118" t="s"><v>0</v></c><c r="B5" s="352" t="str"><f>Translation!A156</f><v>TITLE OF ISLAND SUSTAINABLE ENERGY ACTION PLAN</v></c><c r="C5" s="352"/><c r="D5" s="352"/><c r="E5" s="352"/><c r="F5" s="352"/><c r="G5" s="352"/><c r="H5" s="352"/><c r="I5" s="352"/><c r="J5" s="352"/><c r="K5" s="352"/><c r="L5" s="352"/><c r="M5" s="352"/></row><row r="6" spans="1:13" ht="34.5" customHeight="1"><c r="A6" s="28"/><c r="B6" s="356" t="s"><v>1030</v></c><c r="C6" s="357"/><c r="D6" s="357"/><c r="E6" s="357"/><c r="F6" s="357"/><c r="G6" s="357"/><c r="H6" s="357"/><c r="I6" s="357"/><c r="J6" s="357"/><c r="K6" s="357"/><c r="L6" s="357"/><c r="M6" s="358"/></row><row r="7" spans="1:13" ht="15.75" customHeight="1"><c r="A7" s="29"/><c r="B7" s="30"/></row><row r="8" spans="1:13" ht="21.75" customHeight="1"><c r="A8" s="29"/><c r="E8" s="31"/><c r="F8" s="46" t="str"><f>Translation!A158</f><v>Authority approving the plan</v></c><c r="G8" s="363" t="s"><v>1031</v></c><c r="H8" s="363"/><c r="I8" s="363"/><c r="J8" s="363"/><c r="L8" s="32" t="str"><f>Translation!A157</f><v>Date of formal approval</v></c><c r="M8" s="224"><v>40253</v></c></row><row r="9" spans="1:13" ht="15.75"><c r="A9" s="29"/><c r="B9" s="30"/></row><row r="10" spans="1:13" s="107" customFormat="1" ht="36" customHeight="1"><c r="A10" s="106" t="s"><v>4</v></c><c r="B10" s="351" t="str"><f>Translation!A159</f><v>KEY ELEMENTS OF ISLAND SUSTAINABLE ENERGY ACTION PLAN</v></c><c r="C10" s="351"/><c r="D10" s="351"/><c r="E10" s="351"/><c r="F10" s="351"/><c r="G10" s="351"/><c r="H10" s="351"/><c r="I10" s="351"/><c r="J10" s="351"/><c r="K10" s="351"/><c r="L10" s="351"/><c r="M10" s="351"/></row><row r="11" spans="1:13" s="33" customFormat="1" ht="68.25" customHeight="1"><c r="B11" s="359" t="str"><f>Translation!A160</f><v>SECTORS AND FIELDS OF ACTION</v></c><c r="C11" s="359" t="str"><f>Translation!A161</f><v>ACTIONS
(one line per action - insert lines if necessary; exclude ETS actions)</v></c><c r="D11" s="359" t="str"><f>Translation!A162</f><v>RESPONSIBLE FOR IMPLEMENTATION</v></c><c r="E11" s="361" t="str"><f>Translation!A163</f><v>IMPLEMENTATION SCHEDULE</v></c><c r="F11" s="362"/><c r="G11" s="359" t="str"><f>Translation!A166</f><v>ESTIMATED INVESTMENT COSTS [euro]</v></c><c r="H11" s="359" t="str"><f>Translation!A167</f><v>EXPECTED ENERGY SAVINGS [MWh/year]</v></c><c r="I11" s="359" t="str"><f>Translation!A168</f><v>EXPECTED RENEWABLE ENERGY PRODUCTION [MWh/year]</v></c><c r="J11" s="359" t="str"><f>Translation!A169</f><v>EXPECTED CO2 REDUCTION [ton/year]</v></c><c r="K11" s="359" t="str"><f>Translation!A170</f><v>ENERGY SAVINGS TARGET IN 2020 [MWh/year]</v></c><c r="L11" s="359" t="str"><f>Translation!A171</f><v>RENEWABLE ENERGY PRODUCTION TARGET IN 2020 [MWh/year]</v></c><c r="M11" s="359" t="str"><f>Translation!A172</f><v>CO2 REDUCTION TARGET IN 2020 [ton/year]</v></c></row><row r="12" spans="1:13" s="33" customFormat="1" ht="31.5" customHeight="1"><c r="B12" s="360"/><c r="C12" s="360"/><c r="D12" s="360"/><c r="E12" s="34" t="str"><f>Translation!A164</f><v>Starting year</v></c><c r="F12" s="34" t="str"><f>Translation!A165</f><v>Ending year</v></c><c r="G12" s="360"/><c r="H12" s="360"/><c r="I12" s="360"/><c r="J12" s="360"/><c r="K12" s="360"/><c r="L12" s="360"/><c r="M12" s="360"/></row><row r="13" spans="1:13" s="33" customFormat="1" ht="15"><c r="B13" s="214" t="str"><f>Translation!A59</f><v>RESIDENTIAL</v></c><c r="C13" s="215"/><c r="D13" s="215"/><c r="E13" s="216"/><c r="F13" s="216"/><c r="G13" s="217"/><c r="H13" s="217"/><c r="I13" s="217"/><c r="J13" s="217"/><c r="K13" s="217"/><c r="L13" s="217"/><c r="M13" s="217"/></row><row r="14" spans="1:13" s="33" customFormat="1" ht="30"><c r="B14" s="35" t="s"><v>1033</v></c><c r="C14" s="229" t="s"><v>1061</v></c><c r="D14" s="16" t="s"><v>1032</v></c><c r="E14" s="17"><v>2009</v></c><c r="F14" s="18"><v>2020</v></c><c r="G14" s="19"/><c r="H14" s="225"><v>1840</v></c><c r="I14" s="225"><v>0</v></c><c r="J14" s="227"><v>1191</v></c><c r="K14" s="347"><f>SUM(H14:H23)</f><v>5312</v></c><c r="L14" s="347"><f t="shared" ref="L14:M14" si="0">SUM(I14:I23)</f><v>390</v></c><c r="M14" s="353"><f t="shared" si="0"/><v>3691</v></c></row><row r="15" spans="1:13" s="33" customFormat="1" ht="30"><c r="B15" s="35" t="s"><v>1033</v></c><c r="C15" s="229" t="s"><v>1062</v></c><c r="D15" s="16" t="s"><v>1032</v></c><c r="E15" s="17"><v>2010</v></c><c r="F15" s="18"><v>2020</v></c><c r="G15" s="19"/><c r="H15" s="225"><v>883</v></c><c r="I15" s="225"><v>0</v></c><c r="J15" s="227"><v>572</v></c><c r="K15" s="348"/><c r="L15" s="348"/><c r="M15" s="354"/></row><row r="16" spans="1:13" s="33" customFormat="1" ht="30"><c r="B16" s="35" t="s"><v>1034</v></c><c r="C16" s="229" t="s"><v>1063</v></c><c r="D16" s="16" t="s"><v>1032</v></c><c r="E16" s="17"><v>2009</v></c><c r="F16" s="18"><v>2013</v></c><c r="G16" s="19"/><c r="H16" s="225"><v>309</v></c><c r="I16" s="225"><v>0</v></c><c r="J16" s="227"><v>200</v></c><c r="K16" s="348"/><c r="L16" s="348"/><c r="M16" s="354"/></row><row r="17" spans="2:13" s="33" customFormat="1" ht="30"><c r="B17" s="35" t="s"><v>1034</v></c><c r="C17" s="229" t="s"><v>1064</v></c><c r="D17" s="16" t="s"><v>1032</v></c><c r="E17" s="17"><v>2009</v></c><c r="F17" s="18"><v>2013</v></c><c r="G17" s="19"/><c r="H17" s="225"><v>221</v></c><c r="I17" s="225"><v>0</v></c><c r="J17" s="227"><v>143</v></c><c r="K17" s="348"/><c r="L17" s="348"/><c r="M17" s="354"/></row><row r="18" spans="2:13" s="33" customFormat="1" ht="30"><c r="B18" s="35" t="s"><v>1035</v></c><c r="C18" s="229" t="s"><v>1065</v></c><c r="D18" s="16" t="s"><v>1032</v></c><c r="E18" s="17"><v>2008</v></c><c r="F18" s="18"><v>2020</v></c><c r="G18" s="19"/><c r="H18" s="225"><v>1310</v></c><c r="I18" s="225"><v>0</v></c><c r="J18" s="227"><v>848</v></c><c r="K18" s="348"/><c r="L18" s="348"/><c r="M18" s="354"/></row><row r="19" spans="2:13" s="33" customFormat="1" ht="30"><c r="B19" s="35" t="s"><v>1036</v></c><c r="C19" s="229" t="s"><v>1066</v></c><c r="D19" s="16" t="s"><v>1032</v></c><c r="E19" s="17"><v>2009</v></c><c r="F19" s="18"><v>2013</v></c><c r="G19" s="19"/><c r="H19" s="225"><v>0</v></c><c r="I19" s="225"><v>390</v></c><c r="J19" s="227"><v>252</v></c><c r="K19" s="348"/><c r="L19" s="348"/><c r="M19" s="354"/></row><row r="20" spans="2:13" s="33" customFormat="1" ht="30"><c r="B20" s="35" t="s"><v>1037</v></c><c r="C20" s="229" t="s"><v>1067</v></c><c r="D20" s="16" t="s"><v>1032</v></c><c r="E20" s="17"><v>2011</v></c><c r="F20" s="18"><v>2020</v></c><c r="G20" s="19"/><c r="H20" s="225"><v>164</v></c><c r="I20" s="225"><v>0</v></c><c r="J20" s="227"><v>106</v></c><c r="K20" s="348"/><c r="L20" s="348"/><c r="M20" s="354"/></row><row r="21" spans="2:13" s="33" customFormat="1" ht="30"><c r="B21" s="35" t="s"><v>1060</v></c><c r="C21" s="229" t="s"><v>1068</v></c><c r="D21" s="226" t="s"><v>1069</v></c><c r="E21" s="17"><v>2013</v></c><c r="F21" s="18"><v>2013</v></c><c r="G21" s="19"><v>20000</v></c><c r="H21" s="225"><v>585</v></c><c r="I21" s="225"><v>0</v></c><c r="J21" s="227"><v>379</v></c><c r="K21" s="348"/><c r="L21" s="348"/><c r="M21" s="354"/></row><row r="22" spans="2:13" s="33" customFormat="1" ht="15"><c r="B22" s="35"/><c r="C22" s="228"/><c r="D22" s="16"/><c r="E22" s="17"/><c r="F22" s="18"/><c r="G22" s="19"/><c r="H22" s="19"/><c r="I22" s="19"/><c r="J22" s="19"/><c r="K22" s="348"/><c r="L22" s="348"/><c r="M22" s="354"/></row><row r="23" spans="2:13" s="33" customFormat="1" ht="7.5" customHeight="1"><c r="B23" s="35"/><c r="C23" s="228"/><c r="D23" s="16"/><c r="E23" s="17"/><c r="F23" s="18"/><c r="G23" s="19"/><c r="H23" s="19"/><c r="I23" s="19"/><c r="J23" s="19"/><c r="K23" s="349"/><c r="L23" s="349"/><c r="M23" s="355"/></row><row r="24" spans="2:13" s="33" customFormat="1" ht="15"><c r="B24" s="214" t="str"><f>Translation!A69</f><v>PRIMARY SECTOR</v></c><c r="C24" s="230"/><c r="D24" s="215"/><c r="E24" s="216"/><c r="F24" s="216"/><c r="G24" s="217"/><c r="H24" s="217"/><c r="I24" s="217"/><c r="J24" s="217"/><c r="K24" s="217"/><c r="L24" s="217"/><c r="M24" s="217"/></row><row r="25" spans="2:13" s="33" customFormat="1" ht="15"><c r="B25" s="35" t="str"><f>Translation!A70</f><v>Agriculture, forestry and fishing</v></c><c r="C25" s="228"/><c r="D25" s="16"/><c r="E25" s="17"/><c r="F25" s="18"/><c r="G25" s="19"/><c r="H25" s="19"/><c r="I25" s="19"/><c r="J25" s="19"/><c r="K25" s="347"><f>SUM(H25:H27)</f><v>0</v></c><c r="L25" s="347"><f t="shared" ref="L25:M25" si="1">SUM(I25:I27)</f><v>0</v></c><c r="M25" s="353"><f t="shared" si="1"/><v>0</v></c></row><row r="26" spans="2:13" s="33" customFormat="1" ht="15"><c r="B26" s="35" t="str"><f>Translation!A71</f><v>Mining and quarrying</v></c><c r="C26" s="228"/><c r="D26" s="16"/><c r="E26" s="17"/><c r="F26" s="18"/><c r="G26" s="19"/><c r="H26" s="19"/><c r="I26" s="19"/><c r="J26" s="19"/><c r="K26" s="348"/><c r="L26" s="348"/><c r="M26" s="354"/></row><row r="27" spans="2:13" s="33" customFormat="1" ht="7.5" customHeight="1"><c r="B27" s="35"/><c r="C27" s="228"/><c r="D27" s="16"/><c r="E27" s="17"/><c r="F27" s="18"/><c r="G27" s="19"/><c r="H27" s="19"/><c r="I27" s="19"/><c r="J27" s="19"/><c r="K27" s="349"/><c r="L27" s="349"/><c r="M27" s="355"/></row><row r="28" spans="2:13" s="33" customFormat="1" ht="15"><c r="B28" s="214" t="str"><f>Translation!A72</f><v>SECONDARY SECTOR</v></c><c r="C28" s="230"/><c r="D28" s="215"/><c r="E28" s="216"/><c r="F28" s="216"/><c r="G28" s="217"/><c r="H28" s="217"/><c r="I28" s="217"/><c r="J28" s="217"/><c r="K28" s="217"/><c r="L28" s="217"/><c r="M28" s="217"/></row><row r="29" spans="2:13" s="33" customFormat="1" ht="30"><c r="B29" s="35" t="s"><v>1033</v></c><c r="C29" s="229" t="s"><v>1070</v></c><c r="D29" s="16" t="s"><v>1032</v></c><c r="E29" s="17"><v>2011</v></c><c r="F29" s="18"><v>2020</v></c><c r="G29" s="19"/><c r="H29" s="225"><v>38</v></c><c r="I29" s="225"><v>0</v></c><c r="J29" s="227"><v>25</v></c><c r="K29" s="347"><f>SUM(H29:H39)</f><v>426</v></c><c r="L29" s="347"><f t="shared" ref="L29:M29" si="2">SUM(I29:I39)</f><v>650</v></c><c r="M29" s="353"><f t="shared" si="2"/><v>715</v></c></row><row r="30" spans="2:13" s="33" customFormat="1" ht="30"><c r="B30" s="35" t="s"><v>1033</v></c><c r="C30" s="229" t="s"><v>1071</v></c><c r="D30" s="16" t="s"><v>1032</v></c><c r="E30" s="17"><v>2009</v></c><c r="F30" s="18"><v>2013</v></c><c r="G30" s="19"/><c r="H30" s="225"><v>13</v></c><c r="I30" s="225"><v>0</v></c><c r="J30" s="227"><v>9</v></c><c r="K30" s="348"/><c r="L30" s="348"/><c r="M30" s="354"/></row><row r="31" spans="2:13" s="33" customFormat="1" ht="15"><c r="B31" s="35" t="s"><v>1034</v></c><c r="C31" s="229" t="s"><v>1072</v></c><c r="D31" s="16" t="s"><v>1032</v></c><c r="E31" s="17"><v>2009</v></c><c r="F31" s="18"><v>2013</v></c><c r="G31" s="19"/><c r="H31" s="225"><v>181</v></c><c r="I31" s="225"><v>0</v></c><c r="J31" s="227"><v>120</v></c><c r="K31" s="348"/><c r="L31" s="348"/><c r="M31" s="354"/></row><row r="32" spans="2:13" s="33" customFormat="1" ht="30"><c r="B32" s="35" t="s"><v>1035</v></c><c r="C32" s="229" t="s"><v>1073</v></c><c r="D32" s="16"/><c r="E32" s="17"><v>2008</v></c><c r="F32" s="18"><v>2020</v></c><c r="G32" s="19"/><c r="H32" s="225"><v>83</v></c><c r="I32" s="225"><v>0</v></c><c r="J32" s="227"><v>55</v></c><c r="K32" s="348"/><c r="L32" s="348"/><c r="M32" s="354"/></row><row r="33" spans="2:13" s="33" customFormat="1" ht="30"><c r="B33" s="35" t="s"><v>1036</v></c><c r="C33" s="229" t="s"><v>1074</v></c><c r="D33" s="16" t="s"><v>1032</v></c><c r="E33" s="17"><v>2009</v></c><c r="F33" s="18"><v>2013</v></c><c r="G33" s="19"/><c r="H33" s="225"><v>0</v></c><c r="I33" s="225"><v>650</v></c><c r="J33" s="227"><v>432</v></c><c r="K33" s="348"/><c r="L33" s="348"/><c r="M33" s="354"/></row><row r="34" spans="2:13" s="33" customFormat="1" ht="30"><c r="B34" s="35" t="s"><v>1039</v></c><c r="C34" s="229" t="s"><v>1075</v></c><c r="D34" s="16" t="s"><v>1032</v></c><c r="E34" s="17"><v>2008</v></c><c r="F34" s="18"><v>2020</v></c><c r="G34" s="19"/><c r="H34" s="225"><v>79</v></c><c r="I34" s="225"/><c r="J34" s="227"><v>53</v></c><c r="K34" s="348"/><c r="L34" s="348"/><c r="M34" s="354"/></row><row r="35" spans="2:13" s="33" customFormat="1" ht="30"><c r="B35" s="35" t="s"><v>1033</v></c><c r="C35" s="229" t="s"><v>1076</v></c><c r="D35" s="16" t="s"><v>1032</v></c><c r="E35" s="17"><v>2008</v></c><c r="F35" s="18"><v>2020</v></c><c r="G35" s="19"/><c r="H35" s="225"><v>32</v></c><c r="I35" s="225"/><c r="J35" s="227"><v>21</v></c><c r="K35" s="348"/><c r="L35" s="348"/><c r="M35" s="354"/></row><row r="36" spans="2:13" s="33" customFormat="1" ht="15"><c r="B36" s="35"/><c r="C36" s="229"/><c r="D36" s="16"/><c r="E36" s="17"/><c r="F36" s="18"/><c r="G36" s="19"/><c r="H36" s="19"/><c r="I36" s="19"/><c r="J36" s="19"/><c r="K36" s="348"/><c r="L36" s="348"/><c r="M36" s="354"/></row><row r="37" spans="2:13" s="33" customFormat="1" ht="15"><c r="B37" s="35"/><c r="C37" s="228"/><c r="D37" s="16"/><c r="E37" s="17"/><c r="F37" s="18"/><c r="G37" s="19"/><c r="H37" s="19"/><c r="I37" s="19"/><c r="J37" s="19"/><c r="K37" s="348"/><c r="L37" s="348"/><c r="M37" s="354"/></row><row r="38" spans="2:13" s="33" customFormat="1" ht="15"><c r="B38" s="35"/><c r="C38" s="228"/><c r="D38" s="16"/><c r="E38" s="17"/><c r="F38" s="18"/><c r="G38" s="19"/><c r="H38" s="19"/><c r="I38" s="19"/><c r="J38" s="19"/><c r="K38" s="348"/><c r="L38" s="348"/><c r="M38" s="354"/></row><row r="39" spans="2:13" s="33" customFormat="1" ht="7.5" customHeight="1"><c r="B39" s="35"/><c r="C39" s="228"/><c r="D39" s="16"/><c r="E39" s="17"/><c r="F39" s="18"/><c r="G39" s="19"/><c r="H39" s="19"/><c r="I39" s="19"/><c r="J39" s="19"/><c r="K39" s="349"/><c r="L39" s="349"/><c r="M39" s="355"/></row><row r="40" spans="2:13" s="33" customFormat="1" ht="15"><c r="B40" s="214" t="str"><f>Translation!A76</f><v>TERTIARY SECTOR</v></c><c r="C40" s="230"/><c r="D40" s="215"/><c r="E40" s="216"/><c r="F40" s="216"/><c r="G40" s="217"/><c r="H40" s="217"/><c r="I40" s="217"/><c r="J40" s="217"/><c r="K40" s="217"/><c r="L40" s="217"/><c r="M40" s="217"/></row><row r="41" spans="2:13" s="33" customFormat="1" ht="30"><c r="B41" s="35" t="s"><v>1033</v></c><c r="C41" s="229" t="s"><v>1077</v></c><c r="D41" s="228" t="s"><v>1032</v></c><c r="E41" s="232"><v>2009</v></c><c r="F41" s="233"><v>2020</v></c><c r="G41" s="239"/><c r="H41" s="235"><v>2855</v></c><c r="I41" s="235"><v>0</v></c><c r="J41" s="236"><v>1912</v></c><c r="K41" s="347"><f>SUM(H41:H51)</f><v>10841</v></c><c r="L41" s="347"><f t="shared" ref="L41:M41" si="3">SUM(I41:I51)</f><v>325</v></c><c r="M41" s="353"><f t="shared" si="3"/><v>7481</v></c></row><row r="42" spans="2:13" s="33" customFormat="1" ht="30"><c r="B42" s="35" t="s"><v>1033</v></c><c r="C42" s="229" t="s"><v>1078</v></c><c r="D42" s="228" t="s"><v>1032</v></c><c r="E42" s="232"><v>2010</v></c><c r="F42" s="233"><v>2020</v></c><c r="G42" s="239"/><c r="H42" s="235"><v>1370</v></c><c r="I42" s="235"><v>0</v></c><c r="J42" s="236"><v>918</v></c><c r="K42" s="348"/><c r="L42" s="348"/><c r="M42" s="354"/></row><row r="43" spans="2:13" s="33" customFormat="1" ht="30"><c r="B43" s="35" t="s"><v>1034</v></c><c r="C43" s="229" t="s"><v>1079</v></c><c r="D43" s="228" t="s"><v>1032</v></c><c r="E43" s="232"><v>2009</v></c><c r="F43" s="233"><v>2013</v></c><c r="G43" s="239"/><c r="H43" s="235"><v>480</v></c><c r="I43" s="235"><v>0</v></c><c r="J43" s="236"><v>321</v></c><c r="K43" s="348"/><c r="L43" s="348"/><c r="M43" s="354"/></row><row r="44" spans="2:13" s="33" customFormat="1" ht="30"><c r="B44" s="35" t="s"><v>1038</v></c><c r="C44" s="229" t="s"><v>1080</v></c><c r="D44" s="228" t="s"><v>1032</v></c><c r="E44" s="232"><v>2009</v></c><c r="F44" s="233"><v>2013</v></c><c r="G44" s="239"/><c r="H44" s="235"><v>343</v></c><c r="I44" s="235"><v>0</v></c><c r="J44" s="236"><v>229</v></c><c r="K44" s="348"/><c r="L44" s="348"/><c r="M44" s="354"/></row><row r="45" spans="2:13" s="33" customFormat="1" ht="30"><c r="B45" s="35" t="s"><v>1035</v></c><c r="C45" s="229" t="s"><v>1081</v></c><c r="D45" s="228" t="s"><v>1032</v></c><c r="E45" s="232"><v>2008</v></c><c r="F45" s="233"><v>2020</v></c><c r="G45" s="239"/><c r="H45" s="235"><v>2636</v></c><c r="I45" s="235"><v>0</v></c><c r="J45" s="236"><v>1765</v></c><c r="K45" s="348"/><c r="L45" s="348"/><c r="M45" s="354"/></row><row r="46" spans="2:13" s="33" customFormat="1" ht="30"><c r="B46" s="35" t="s"><v>1036</v></c><c r="C46" s="229" t="s"><v>1082</v></c><c r="D46" s="228" t="s"><v>1032</v></c><c r="E46" s="232"><v>2009</v></c><c r="F46" s="233"><v>2013</v></c><c r="G46" s="239"/><c r="H46" s="235"><v>0</v></c><c r="I46" s="235"><v>325</v></c><c r="J46" s="236"><v>218</v></c><c r="K46" s="348"/><c r="L46" s="348"/><c r="M46" s="354"/></row><row r="47" spans="2:13" s="33" customFormat="1" ht="30"><c r="B47" s="35" t="s"><v>1039</v></c><c r="C47" s="229" t="s"><v>1083</v></c><c r="D47" s="228" t="s"><v>1032</v></c><c r="E47" s="232"><v>2011</v></c><c r="F47" s="233"><v>2020</v></c><c r="G47" s="239"/><c r="H47" s="235"><v>302</v></c><c r="I47" s="235"><v>0</v></c><c r="J47" s="236"><v>202</v></c><c r="K47" s="348"/><c r="L47" s="348"/><c r="M47" s="354"/></row><row r="48" spans="2:13" s="33" customFormat="1" ht="30"><c r="B48" s="35" t="s"><v>1033</v></c><c r="C48" s="229" t="s"><v>1084</v></c><c r="D48" s="228" t="s"><v>1032</v></c><c r="E48" s="232"><v>2010</v></c><c r="F48" s="233"><v>2020</v></c><c r="G48" s="239"/><c r="H48" s="235"><v>2855</v></c><c r="I48" s="235"><v>0</v></c><c r="J48" s="236"><v>1916</v></c><c r="K48" s="348"/><c r="L48" s="348"/><c r="M48" s="354"/></row><row r="49" spans="2:13" s="33" customFormat="1" ht="45"><c r="B49" s="35" t="s"><v>1040</v></c><c r="C49" s="229" t="s"><v>1085</v></c><c r="D49" s="229" t="s"><v>1087</v></c><c r="E49" s="232"><v>2013</v></c><c r="F49" s="233"><v>2014</v></c><c r="G49" s="239"><v>1600000</v></c><c r="H49" s="239"/><c r="I49" s="239"/><c r="J49" s="239"/><c r="K49" s="348"/><c r="L49" s="348"/><c r="M49" s="354"/></row><row r="50" spans="2:13" s="33" customFormat="1" ht="45"><c r="B50" s="35" t="s"><v>1040</v></c><c r="C50" s="229" t="s"><v>1086</v></c><c r="D50" s="229" t="s"><v>1087</v></c><c r="E50" s="232"><v>2013</v></c><c r="F50" s="233"><v>2014</v></c><c r="G50" s="239"><v>8000</v></c><c r="H50" s="239"/><c r="I50" s="239"/><c r="J50" s="239"/><c r="K50" s="348"/><c r="L50" s="348"/><c r="M50" s="354"/></row><row r="51" spans="2:13" s="33" customFormat="1" ht="7.5" customHeight="1"><c r="B51" s="35"/><c r="C51" s="16"/><c r="D51" s="16"/><c r="E51" s="17"/><c r="F51" s="18"/><c r="G51" s="19"/><c r="H51" s="19"/><c r="I51" s="19"/><c r="J51" s="19"/><c r="K51" s="349"/><c r="L51" s="349"/><c r="M51" s="355"/></row><row r="52" spans="2:13" s="33" customFormat="1" ht="15"><c r="B52" s="214" t="str"><f>Translation!A85</f><v>TRANSPORTS</v></c><c r="C52" s="215"/><c r="D52" s="215"/><c r="E52" s="216"/><c r="F52" s="216"/><c r="G52" s="217"/><c r="H52" s="217"/><c r="I52" s="217"/><c r="J52" s="217"/><c r="K52" s="217"/><c r="L52" s="217"/><c r="M52" s="217"/></row><row r="53" spans="2:13" s="33" customFormat="1" ht="15"><c r="B53" s="35" t="s"><v>1044</v></c><c r="C53" s="226" t="s"><v>1110</v></c><c r="D53" s="226" t="s"><v>1069</v></c><c r="E53" s="17"><v>2016</v></c><c r="F53" s="18"><v>2020</v></c><c r="G53" s="246"><v>45000</v></c><c r="H53" s="247"><v>27.6</v></c><c r="I53" s="247"/><c r="J53" s="247"><v>6.9</v></c><c r="K53" s="347"><f>SUM(H53:H64)</f><v>69807.400000000009</v></c><c r="L53" s="347"><f t="shared" ref="L53:M53" si="4">SUM(I53:I64)</f><v>0</v></c><c r="M53" s="353"><f t="shared" si="4"/><v>17639.346999999998</v></c></row><row r="54" spans="2:13" s="33" customFormat="1" ht="15"><c r="B54" s="35" t="s"><v>1043</v></c><c r="C54" s="226" t="s"><v>1111</v></c><c r="D54" s="226" t="s"><v>1069</v></c><c r="E54" s="17"><v>2012</v></c><c r="F54" s="18"><v>2020</v></c><c r="G54" s="246"/><c r="H54" s="247"><v>10</v></c><c r="I54" s="247"/><c r="J54" s="247"><f>H54*0.267</f><v>2.67</v></c><c r="K54" s="348"/><c r="L54" s="348"/><c r="M54" s="354"/></row><row r="55" spans="2:13" s="33" customFormat="1" ht="15"><c r="B55" s="35" t="s"><v>1043</v></c><c r="C55" s="226" t="s"><v>1112</v></c><c r="D55" s="226" t="s"><v>1069</v></c><c r="E55" s="17"><v>2011</v></c><c r="F55" s="18"><v>2020</v></c><c r="G55" s="246"/><c r="H55" s="247"><v>6</v></c><c r="I55" s="247"/><c r="J55" s="247"><f>H55*0.267</f><v>1.6020000000000001</v></c><c r="K55" s="348"/><c r="L55" s="348"/><c r="M55" s="354"/></row><row r="56" spans="2:13" s="33" customFormat="1" ht="30"><c r="B56" s="35" t="s"><v>1043</v></c><c r="C56" s="226" t="s"><v>1113</v></c><c r="D56" s="248" t="s"><v>1041</v></c><c r="E56" s="17"><v>2010</v></c><c r="F56" s="18"><v>2015</v></c><c r="G56" s="249"/><c r="H56" s="247"><v>32749</v></c><c r="I56" s="250"/><c r="J56" s="250"><v>8272</v></c><c r="K56" s="348"/><c r="L56" s="348"/><c r="M56" s="354"/></row><row r="57" spans="2:13" s="33" customFormat="1" ht="15"><c r="B57" s="35" t="s"><v>1043</v></c><c r="C57" s="226" t="s"><v>1114</v></c><c r="D57" s="248" t="s"><v>1041</v></c><c r="E57" s="17"><v>2008</v></c><c r="F57" s="18"><v>2020</v></c><c r="G57" s="249"/><c r="H57" s="247"><v>22336</v></c><c r="I57" s="250"/><c r="J57" s="250"><v>5642</v></c><c r="K57" s="348"/><c r="L57" s="348"/><c r="M57" s="354"/></row><row r="58" spans="2:13" s="33" customFormat="1" ht="30"><c r="B58" s="35" t="s"><v>1043</v></c><c r="C58" s="226" t="s"><v>1115</v></c><c r="D58" s="248" t="s"><v>1041</v></c><c r="E58" s="17"><v>2008</v></c><c r="F58" s="18"><v>2020</v></c><c r="G58" s="249"/><c r="H58" s="247"><v>5361</v></c><c r="I58" s="250"/><c r="J58" s="250"><v>1354</v></c><c r="K58" s="348"/><c r="L58" s="348"/><c r="M58" s="354"/></row><row r="59" spans="2:13" s="33" customFormat="1" ht="15"><c r="B59" s="35" t="s"><v>1043</v></c><c r="C59" s="226" t="s"><v>1116</v></c><c r="D59" s="226" t="s"><v>1032</v></c><c r="E59" s="17"><v>2009</v></c><c r="F59" s="18"><v>2020</v></c><c r="G59" s="249"/><c r="H59" s="247"><v>2859</v></c><c r="I59" s="250"/><c r="J59" s="250"><v>722</v></c><c r="K59" s="348"/><c r="L59" s="348"/><c r="M59" s="354"/></row><row r="60" spans="2:13" s="33" customFormat="1" ht="15"><c r="B60" s="35" t="s"><v>1043</v></c><c r="C60" s="226" t="s"><v>1117</v></c><c r="D60" s="248" t="s"><v>1041</v></c><c r="E60" s="17"><v>2008</v></c><c r="F60" s="18"><v>2020</v></c><c r="G60" s="249"/><c r="H60" s="247"><v>3574</v></c><c r="I60" s="250"/><c r="J60" s="250"><v>903</v></c><c r="K60" s="348"/><c r="L60" s="348"/><c r="M60" s="354"/></row><row r="61" spans="2:13" s="33" customFormat="1" ht="30"><c r="B61" s="35" t="s"><v>1043</v></c><c r="C61" s="226" t="s"><v>1118</v></c><c r="D61" s="226" t="s"><v>1122</v></c><c r="E61" s="17"><v>2012</v></c><c r="F61" s="18"><v>2020</v></c><c r="G61" s="249"/><c r="H61" s="247"><v>43.8</v></c><c r="I61" s="250"/><c r="J61" s="250"><v>11</v></c><c r="K61" s="348"/><c r="L61" s="348"/><c r="M61" s="354"/></row><row r="62" spans="2:13" s="33" customFormat="1" ht="15"><c r="B62" s="35" t="s"><v>1043</v></c><c r="C62" s="226" t="s"><v>1119</v></c><c r="D62" s="226" t="s"><v>1069</v></c><c r="E62" s="17"><v>2011</v></c><c r="F62" s="18"><v>2015</v></c><c r="G62" s="249"><v>15000</v></c><c r="H62" s="247"><v>1022</v></c><c r="I62" s="250"/><c r="J62" s="250"><v>258.15699999999998</v></c><c r="K62" s="348"/><c r="L62" s="348"/><c r="M62" s="354"/></row><row r="63" spans="2:13" s="33" customFormat="1" ht="15"><c r="B63" s="35" t="s"><v>1042</v></c><c r="C63" s="226" t="s"><v>1120</v></c><c r="D63" s="226" t="s"><v>1069</v></c><c r="E63" s="17"><v>2013</v></c><c r="F63" s="18"><v>2015</v></c><c r="G63" s="249"><v>25000</v></c><c r="H63" s="247"><f>950*1.3</f><v>1235</v></c><c r="I63" s="250"/><c r="J63" s="250"><f>245*1.3</f><v>318.5</v></c><c r="K63" s="348"/><c r="L63" s="348"/><c r="M63" s="354"/></row><row r="64" spans="2:13" s="33" customFormat="1" ht="15"><c r="B64" s="35" t="s"><v>1043</v></c><c r="C64" s="226" t="s"><v>1121</v></c><c r="D64" s="226" t="s"><v>1069</v></c><c r="E64" s="17"><v>2013</v></c><c r="F64" s="18"><v>2015</v></c><c r="G64" s="249"><v>3500</v></c><c r="H64" s="247"><v>584</v></c><c r="I64" s="250"/><c r="J64" s="250"><v>147.518</v></c><c r="K64" s="349"/><c r="L64" s="349"/><c r="M64" s="355"/></row><row r="65" spans="2:13" s="33" customFormat="1" ht="15"><c r="B65" s="214" t="str"><f>Translation!$A$173</f><v>SECONDARY ENERGY PRODUCTION AND ENERGY FLUXES</v></c><c r="C65" s="215"/><c r="D65" s="215"/><c r="E65" s="216"/><c r="F65" s="216"/><c r="G65" s="217"/><c r="H65" s="217"/><c r="I65" s="217"/><c r="J65" s="217"/><c r="K65" s="217"/><c r="L65" s="217"/><c r="M65" s="217"/></row><row r="66" spans="2:13" s="33" customFormat="1" ht="15"><c r="B66" s="35" t="str"><f>Translation!$A$174</f><v>Electricity (non-renewable)</v></c><c r="C66" s="16"/><c r="D66" s="16"/><c r="E66" s="17"/><c r="F66" s="18"/><c r="G66" s="19"/><c r="H66" s="19"/><c r="I66" s="19"/><c r="J66" s="19"/><c r="K66" s="347"><f>SUM(H66:H79)</f><v>0</v></c><c r="L66" s="347"><f t="shared" ref="L66:M66" si="5">SUM(I66:I79)</f><v>264</v></c><c r="M66" s="353"><f t="shared" si="5"/><v>208</v></c></row><row r="67" spans="2:13" s="33" customFormat="1" ht="15"><c r="B67" s="35" t="str"><f>Translation!$A$175</f><v>Heat (non-renewable)</v></c><c r="C67" s="16"/><c r="D67" s="16"/><c r="E67" s="17"/><c r="F67" s="18"/><c r="G67" s="19"/><c r="H67" s="19"/><c r="I67" s="19"/><c r="J67" s="19"/><c r="K67" s="348"/><c r="L67" s="348"/><c r="M67" s="354"/></row><row r="68" spans="2:13" s="33" customFormat="1" ht="15"><c r="B68" s="35" t="str"><f>Translation!$A$176</f><v>Cold (non-renewable)</v></c><c r="C68" s="16"/><c r="D68" s="16"/><c r="E68" s="17"/><c r="F68" s="18"/><c r="G68" s="19"/><c r="H68" s="19"/><c r="I68" s="19"/><c r="J68" s="19"/><c r="K68" s="348"/><c r="L68" s="348"/><c r="M68" s="354"/></row><row r="69" spans="2:13" s="33" customFormat="1" ht="15"><c r="B69" s="35" t="str"><f>Translation!$A$177</f><v>Hydro</v></c><c r="C69" s="16"/><c r="D69" s="16"/><c r="E69" s="17"/><c r="F69" s="18"/><c r="G69" s="19"/><c r="H69" s="19"/><c r="I69" s="19"/><c r="J69" s="19"/><c r="K69" s="348"/><c r="L69" s="348"/><c r="M69" s="354"/></row><row r="70" spans="2:13" s="33" customFormat="1" ht="15"><c r="B70" s="35" t="str"><f>Translation!$A$178</f><v>Wind</v></c><c r="C70" s="226" t="s"><v>1089</v></c><c r="D70" s="226" t="s"><v>1069</v></c><c r="E70" s="17"><v>2014</v></c><c r="F70" s="18"><v>2015</v></c><c r="G70" s="19"><v>40000</v></c><c r="H70" s="19"/><c r="I70" s="19"><v>39</v></c><c r="J70" s="19"><v>30</v></c><c r="K70" s="348"/><c r="L70" s="348"/><c r="M70" s="354"/></row><row r="71" spans="2:13" s="33" customFormat="1" ht="15"><c r="B71" s="35" t="str"><f>Translation!$A$179</f><v>Solar</v></c><c r="C71" s="226" t="s"><v>1088</v></c><c r="D71" s="226" t="s"><v>1069</v></c><c r="E71" s="17"><v>2013</v></c><c r="F71" s="18"><v>2014</v></c><c r="G71" s="19"><v>450000</v></c><c r="H71" s="19"/><c r="I71" s="19"><v>225</v></c><c r="J71" s="19"><v>178</v></c><c r="K71" s="348"/><c r="L71" s="348"/><c r="M71" s="354"/></row><row r="72" spans="2:13" s="33" customFormat="1" ht="15"><c r="B72" s="35" t="str"><f>Translation!$A$180</f><v>Geothermal</v></c><c r="C72" s="16"/><c r="D72" s="16"/><c r="E72" s="17"/><c r="F72" s="18"/><c r="G72" s="19"/><c r="H72" s="19"/><c r="I72" s="19"/><c r="J72" s="19"/><c r="K72" s="348"/><c r="L72" s="348"/><c r="M72" s="354"/></row><row r="73" spans="2:13" s="33" customFormat="1" ht="15"><c r="B73" s="35" t="str"><f>Translation!$A$181</f><v>Ocean</v></c><c r="C73" s="16"/><c r="D73" s="16"/><c r="E73" s="17"/><c r="F73" s="18"/><c r="G73" s="19"/><c r="H73" s="19"/><c r="I73" s="19"/><c r="J73" s="19"/><c r="K73" s="348"/><c r="L73" s="348"/><c r="M73" s="354"/></row><row r="74" spans="2:13" s="33" customFormat="1" ht="15"><c r="B74" s="35" t="str"><f>Translation!$A$182</f><v>Biomass</v></c><c r="C74" s="16"/><c r="D74" s="16"/><c r="E74" s="17"/><c r="F74" s="18"/><c r="G74" s="19"/><c r="H74" s="19"/><c r="I74" s="19"/><c r="J74" s="19"/><c r="K74" s="348"/><c r="L74" s="348"/><c r="M74" s="354"/></row><row r="75" spans="2:13" s="33" customFormat="1" ht="15"><c r="B75" s="35" t="str"><f>Translation!$A$183</f><v>Urban waste</v></c><c r="C75" s="16"/><c r="D75" s="16"/><c r="E75" s="17"/><c r="F75" s="18"/><c r="G75" s="19"/><c r="H75" s="19"/><c r="I75" s="19"/><c r="J75" s="19"/><c r="K75" s="348"/><c r="L75" s="348"/><c r="M75" s="354"/></row><row r="76" spans="2:13" s="33" customFormat="1" ht="15"><c r="B76" s="35" t="str"><f>Translation!$A$184</f><v>Storage</v></c><c r="C76" s="16"/><c r="D76" s="16"/><c r="E76" s="17"/><c r="F76" s="18"/><c r="G76" s="19"/><c r="H76" s="19"/><c r="I76" s="19"/><c r="J76" s="19"/><c r="K76" s="348"/><c r="L76" s="348"/><c r="M76" s="354"/></row><row r="77" spans="2:13" s="33" customFormat="1" ht="15"><c r="B77" s="35" t="str"><f>Translation!$A$185</f><v>External connection</v></c><c r="C77" s="16"/><c r="D77" s="16"/><c r="E77" s="17"/><c r="F77" s="18"/><c r="G77" s="19"/><c r="H77" s="19"/><c r="I77" s="19"/><c r="J77" s="19"/><c r="K77" s="348"/><c r="L77" s="348"/><c r="M77" s="354"/></row><row r="78" spans="2:13" s="33" customFormat="1" ht="30"><c r="B78" s="35" t="str"><f>Translation!$A$186</f><v>Distribution losses and self-consumption</v></c><c r="C78" s="16"/><c r="D78" s="16"/><c r="E78" s="17"/><c r="F78" s="18"/><c r="G78" s="19"/><c r="H78" s="19"/><c r="I78" s="19"/><c r="J78" s="19"/><c r="K78" s="348"/><c r="L78" s="348"/><c r="M78" s="354"/></row><row r="79" spans="2:13" s="33" customFormat="1" ht="7.5" customHeight="1"><c r="B79" s="35"/><c r="C79" s="16"/><c r="D79" s="16"/><c r="E79" s="17"/><c r="F79" s="18"/><c r="G79" s="19"/><c r="H79" s="19"/><c r="I79" s="19"/><c r="J79" s="19"/><c r="K79" s="349"/><c r="L79" s="349"/><c r="M79" s="355"/></row><row r="80" spans="2:13" s="33" customFormat="1" ht="15"><c r="B80" s="214" t="str"><f>Translation!A187</f><v>LAND USE PLANNING</v></c><c r="C80" s="215"/><c r="D80" s="215"/><c r="E80" s="216"/><c r="F80" s="216"/><c r="G80" s="217"/><c r="H80" s="217"/><c r="I80" s="217"/><c r="J80" s="217"/><c r="K80" s="217"/><c r="L80" s="217"/><c r="M80" s="217"/></row><row r="81" spans="2:13" s="33" customFormat="1" ht="15"><c r="B81" s="35" t="s"><v>1047</v></c><c r="C81" s="16" t="s"><v>1045</v></c><c r="D81" s="226" t="s"><v>1069</v></c><c r="E81" s="17"><v>2011</v></c><c r="F81" s="18"><v>2020</v></c><c r="G81" s="19"><v>7500</v></c><c r="H81" s="19"/><c r="I81" s="19"/><c r="J81" s="19"><v>150</v></c><c r="K81" s="347"><f>SUM(H81:H85)</f><v>0</v></c><c r="L81" s="347"><f t="shared" ref="L81:M81" si="6">SUM(I81:I85)</f><v>0</v></c><c r="M81" s="347"><f t="shared" si="6"/><v>210</v></c></row><row r="82" spans="2:13" s="33" customFormat="1" ht="15"><c r="B82" s="35" t="s"><v>1047</v></c><c r="C82" s="16" t="s"><v>1046</v></c><c r="D82" s="226" t="s"><v>1069</v></c><c r="E82" s="17"><v>2011</v></c><c r="F82" s="18"><v>2020</v></c><c r="G82" s="19"><v>8000</v></c><c r="H82" s="19"/><c r="I82" s="19"/><c r="J82" s="19"><v>60</v></c><c r="K82" s="348"/><c r="L82" s="348"/><c r="M82" s="348"/></row><row r="83" spans="2:13" s="33" customFormat="1" ht="15"><c r="B83" s="35"/><c r="C83" s="16"/><c r="D83" s="16"/><c r="E83" s="17"/><c r="F83" s="18"/><c r="G83" s="19"/><c r="H83" s="19"/><c r="I83" s="19"/><c r="J83" s="19"/><c r="K83" s="348"/><c r="L83" s="348"/><c r="M83" s="348"/></row><row r="84" spans="2:13" s="33" customFormat="1" ht="15"><c r="B84" s="35"/><c r="C84" s="16"/><c r="D84" s="16"/><c r="E84" s="17"/><c r="F84" s="18"/><c r="G84" s="19"/><c r="H84" s="19"/><c r="I84" s="19"/><c r="J84" s="19"/><c r="K84" s="348"/><c r="L84" s="348"/><c r="M84" s="348"/></row><row r="85" spans="2:13" s="33" customFormat="1" ht="7.5" customHeight="1"><c r="B85" s="35"/><c r="C85" s="16"/><c r="D85" s="16"/><c r="E85" s="17"/><c r="F85" s="18"/><c r="G85" s="19"/><c r="H85" s="19"/><c r="I85" s="19"/><c r="J85" s="19"/><c r="K85" s="349"/><c r="L85" s="349"/><c r="M85" s="349"/></row><row r="86" spans="2:13" s="33" customFormat="1" ht="15"><c r="B86" s="214" t="str"><f>Translation!A192</f><v>PUBLIC PROCUREMENT OF PRODUCTS AND SERVICES</v></c><c r="C86" s="215"/><c r="D86" s="215"/><c r="E86" s="216"/><c r="F86" s="216"/><c r="G86" s="217"/><c r="H86" s="217"/><c r="I86" s="217"/><c r="J86" s="217"/><c r="K86" s="217"/><c r="L86" s="217"/><c r="M86" s="217"/></row><row r="87" spans="2:13" s="33" customFormat="1" ht="30"><c r="B87" s="35" t="str"><f>Translation!A193</f><v>Energy efficiency requirements/standards</v></c><c r="C87" s="242" t="s"><v>1123</v></c><c r="D87" s="243" t="s"><v>1069</v></c><c r="E87" s="17"><v>2011</v></c><c r="F87" s="18"><v>2020</v></c><c r="G87" s="231"/><c r="H87" s="244"><v>100</v></c><c r="I87" s="244"/><c r="J87" s="245"><f>H87*0.847</f><v>84.7</v></c><c r="K87" s="347"><f>SUM(H87:H89)</f><v>100</v></c><c r="L87" s="347"><f t="shared" ref="L87:M87" si="7">SUM(I87:I89)</f><v>0</v></c><c r="M87" s="347"><f t="shared" si="7"/><v>84.7</v></c></row><row r="88" spans="2:13" s="33" customFormat="1" ht="30"><c r="B88" s="35" t="str"><f>Translation!A194</f><v>Renewable energy requirements/standards</v></c><c r="C88" s="17"/><c r="D88" s="17"/><c r="E88" s="17"/><c r="F88" s="18"/><c r="G88" s="231"/><c r="H88" s="231"/><c r="I88" s="231"/><c r="J88" s="231"/><c r="K88" s="348"/><c r="L88" s="348"/><c r="M88" s="348"/></row><row r="89" spans="2:13" s="33" customFormat="1" ht="7.5" customHeight="1"><c r="B89" s="35"/><c r="C89" s="16"/><c r="D89" s="16"/><c r="E89" s="17"/><c r="F89" s="18"/><c r="G89" s="19"/><c r="H89" s="19"/><c r="I89" s="19"/><c r="J89" s="19"/><c r="K89" s="349"/><c r="L89" s="349"/><c r="M89" s="349"/></row><row r="90" spans="2:13" s="33" customFormat="1" ht="15"><c r="B90" s="214" t="str"><f>Translation!A195</f><v>CITIZENS AND STAKEHOLDERS</v></c><c r="C90" s="215"/><c r="D90" s="215"/><c r="E90" s="216"/><c r="F90" s="216"/><c r="G90" s="217"/><c r="H90" s="217"/><c r="I90" s="217"/><c r="J90" s="217"/><c r="K90" s="217"/><c r="L90" s="217"/><c r="M90" s="217"/></row><row r="91" spans="2:13" s="33" customFormat="1" ht="30"><c r="B91" s="35" t="str"><f>Translation!A196</f><v>Advisory services</v></c><c r="C91" s="229" t="s"><v>1090</v></c><c r="D91" s="229" t="s"><v>1069</v></c><c r="E91" s="232"><v>2012</v></c><c r="F91" s="233"><v>2014</v></c><c r="G91" s="234"><v>6000</v></c><c r="H91" s="235"><f>1215/2</f><v>607.5</v></c><c r="I91" s="235"><f>1215/2</f><v>607.5</v></c><c r="J91" s="236"><f>786.219</f><v>786.21900000000005</v></c><c r="K91" s="347"><f>SUM(H91:H105)</f><v>4183.4800000000005</v></c><c r="L91" s="347"><f t="shared" ref="L91:M91" si="8">SUM(I91:I105)</f><v>3004.8</v></c><c r="M91" s="347"><f t="shared" si="8"/><v>4814.2849999999999</v></c></row><row r="92" spans="2:13" s="33" customFormat="1" ht="30"><c r="B92" s="35" t="s"><v>149</v></c><c r="C92" s="229" t="s"><v>1091</v></c><c r="D92" s="229" t="s"><v>1069</v></c><c r="E92" s="232"><v>2009</v></c><c r="F92" s="233"><v>2013</v></c><c r="G92" s="237"/><c r="H92" s="235"/><c r="I92" s="235"/><c r="J92" s="235"/><c r="K92" s="348"/><c r="L92" s="348"/><c r="M92" s="348"/></row><row r="93" spans="2:13" s="33" customFormat="1" ht="15"><c r="B93" s="35" t="s"><v>149</v></c><c r="C93" s="229" t="s"><v>1092</v></c><c r="D93" s="229" t="s"><v>1069</v></c><c r="E93" s="232"><v>2013</v></c><c r="F93" s="233"><v>2017</v></c><c r="G93" s="237"><v>3000</v></c><c r="H93" s="238"><f>110.5+550/2</f><v>385.5</v></c><c r="I93" s="238"><f>550/2</f><v>275</v></c><c r="J93" s="238"><f>355.901+279.174</f><v>635.07500000000005</v></c><c r="K93" s="348"/><c r="L93" s="348"/><c r="M93" s="348"/></row><row r="94" spans="2:13" s="33" customFormat="1" ht="15"><c r="B94" s="35" t="s"><v>149</v></c><c r="C94" s="229" t="s"><v>1093</v></c><c r="D94" s="229" t="s"><v>1069</v></c><c r="E94" s="232"><v>2012</v></c><c r="F94" s="233"><v>2013</v></c><c r="G94" s="234"><f>5000+3000</f><v>8000</v></c><c r="H94" s="235"><f>(176+120)/2</f><v>148</v></c><c r="I94" s="235"><f>(176+120)/2</f><v>148</v></c><c r="J94" s="235"><f>113.888+77.651</f><v>191.53899999999999</v></c><c r="K94" s="348"/><c r="L94" s="348"/><c r="M94" s="348"/></row><row r="95" spans="2:13" s="33" customFormat="1" ht="15"><c r="B95" s="35" t="s"><v>149</v></c><c r="C95" s="229" t="s"><v>1094</v></c><c r="D95" s="229" t="s"><v>1069</v></c><c r="E95" s="232"><v>2010</v></c><c r="F95" s="233"><v>2020</v></c><c r="G95" s="234"><v>0</v></c><c r="H95" s="235"><f>220/2</f><v>110</v></c><c r="I95" s="235"><f>220/2</f><v>110</v></c><c r="J95" s="235"><v>142.36099999999999</v></c><c r="K95" s="348"/><c r="L95" s="348"/><c r="M95" s="348"/></row><row r="96" spans="2:13" s="33" customFormat="1" ht="15"><c r="B96" s="35" t="s"><v>149</v></c><c r="C96" s="229" t="s"><v>1095</v></c><c r="D96" s="229" t="s"><v>1069</v></c><c r="E96" s="232"><v>2012</v></c><c r="F96" s="233"><v>2020</v></c><c r="G96" s="234"><v>10000</v></c><c r="H96" s="235"><f>720/2</f><v>360</v></c><c r="I96" s="235"><f>720/2</f><v>360</v></c><c r="J96" s="235"><v>465.90699999999998</v></c><c r="K96" s="348"/><c r="L96" s="348"/><c r="M96" s="348"/></row><row r="97" spans="2:13" s="33" customFormat="1" ht="15"><c r="B97" s="35" t="s"><v>149</v></c><c r="C97" s="229" t="s"><v>1096</v></c><c r="D97" s="229" t="s"><v>1069</v></c><c r="E97" s="232"><v>2010</v></c><c r="F97" s="233"><v>2020</v></c><c r="G97" s="234"><v>0</v></c><c r="H97" s="235"><f>450/2</f><v>225</v></c><c r="I97" s="235"><f>450/2</f><v>225</v></c><c r="J97" s="235"><v>291.19200000000001</v></c><c r="K97" s="348"/><c r="L97" s="348"/><c r="M97" s="348"/></row><row r="98" spans="2:13" s="33" customFormat="1" ht="15"><c r="B98" s="35" t="s"><v>149</v></c><c r="C98" s="229" t="s"><v>1097</v></c><c r="D98" s="229" t="s"><v>1069</v></c><c r="E98" s="232"><v>2009</v></c><c r="F98" s="233"><v>2020</v></c><c r="G98" s="234"><v>2000</v></c><c r="H98" s="235"><v>552.6</v></c><c r="I98" s="235"/><c r="J98" s="235"><v>357.584</v></c><c r="K98" s="348"/><c r="L98" s="348"/><c r="M98" s="348"/></row><row r="99" spans="2:13" s="33" customFormat="1" ht="15"><c r="B99" s="35" t="s"><v>149</v></c><c r="C99" s="229" t="s"><v>1098</v></c><c r="D99" s="229" t="s"><v>1069</v></c><c r="E99" s="232"><v>2013</v></c><c r="F99" s="233"><v>2015</v></c><c r="G99" s="234"><v>1000</v></c><c r="H99" s="235"><v>276.3</v></c><c r="I99" s="235"/><c r="J99" s="235"><v>69.793000000000006</v></c><c r="K99" s="348"/><c r="L99" s="348"/><c r="M99" s="348"/></row><row r="100" spans="2:13" s="33" customFormat="1" ht="15"><c r="B100" s="35" t="s"><v>149</v></c><c r="C100" s="229" t="s"><v>1099</v></c><c r="D100" s="229" t="s"><v>1069</v></c><c r="E100" s="232"><v>2011</v></c><c r="F100" s="233"><v>2020</v></c><c r="G100" s="234"><v>1500</v></c><c r="H100" s="235" t="s"><v>1104</v></c><c r="I100" s="235"/><c r="J100" s="235"><v>116.477</v></c><c r="K100" s="348"/><c r="L100" s="348"/><c r="M100" s="348"/></row><row r="101" spans="2:13" s="33" customFormat="1" ht="15"><c r="B101" s="35" t="s"><v>9</v></c><c r="C101" s="229" t="s"><v>1100</v></c><c r="D101" s="229" t="s"><v>1069</v></c><c r="E101" s="232"><v>2010</v></c><c r="F101" s="233"><v>2018</v></c><c r="G101" s="234"><v>3000</v></c><c r="H101" s="235"><f>1440/2</f><v>720</v></c><c r="I101" s="235"><f>1440/2</f><v>720</v></c><c r="J101" s="235"><v>931.81500000000005</v></c><c r="K101" s="348"/><c r="L101" s="348"/><c r="M101" s="348"/></row><row r="102" spans="2:13" s="33" customFormat="1" ht="15"><c r="B102" s="35" t="s"><v>9</v></c><c r="C102" s="229" t="s"><v>1101</v></c><c r="D102" s="229" t="s"><v>1069</v></c><c r="E102" s="232"><v>2012</v></c><c r="F102" s="233"><v>2014</v></c><c r="G102" s="234"><f>3000*2</f><v>6000</v></c><c r="H102" s="235"><v>270</v></c><c r="I102" s="235"><v>157.5</v></c><c r="J102" s="235"><f>213+101.9</f><v>314.89999999999998</v></c><c r="K102" s="348"/><c r="L102" s="348"/><c r="M102" s="348"/></row><row r="103" spans="2:13" s="33" customFormat="1" ht="30"><c r="B103" s="35" t="s"><v>9</v></c><c r="C103" s="229" t="s"><v>1102</v></c><c r="D103" s="229" t="s"><v>1069</v></c><c r="E103" s="232"><v>2013</v></c><c r="F103" s="233"><v>2017</v></c><c r="G103" s="234"><v>4500</v></c><c r="H103" s="235"><f>725.6/2</f><v>362.8</v></c><c r="I103" s="235"><f>725.6/2</f><v>362.8</v></c><c r="J103" s="235"><v>469.54700000000003</v></c><c r="K103" s="348"/><c r="L103" s="348"/><c r="M103" s="348"/></row><row r="104" spans="2:13" s="33" customFormat="1" ht="30"><c r="B104" s="35" t="s"><v>9</v></c><c r="C104" s="229" t="s"><v>1103</v></c><c r="D104" s="229" t="s"><v>1069</v></c><c r="E104" s="232"><v>2011</v></c><c r="F104" s="233"><v>2020</v></c><c r="G104" s="239"/><c r="H104" s="235"><v>165.78</v></c><c r="I104" s="235"><f>I70</f><v>39</v></c><c r="J104" s="235"><f>41.876</f><v>41.875999999999998</v></c><c r="K104" s="348"/><c r="L104" s="348"/><c r="M104" s="348"/></row><row r="105" spans="2:13" s="33" customFormat="1" ht="7.5" customHeight="1"><c r="B105" s="35"/><c r="C105" s="16"/><c r="D105" s="16"/><c r="E105" s="17"/><c r="F105" s="18"/><c r="G105" s="19"/><c r="H105" s="19"/><c r="I105" s="19"/><c r="J105" s="19"/><c r="K105" s="349"/><c r="L105" s="349"/><c r="M105" s="349"/></row><row r="106" spans="2:13" s="33" customFormat="1" ht="15"><c r="B106" s="214" t="s"><v>1048</v></c><c r="C106" s="215"/><c r="D106" s="215"/><c r="E106" s="216"/><c r="F106" s="216"/><c r="G106" s="217"/><c r="H106" s="217"/><c r="I106" s="217"/><c r="J106" s="217"/><c r="K106" s="217"/><c r="L106" s="217"/><c r="M106" s="217"/></row><row r="107" spans="2:13" s="33" customFormat="1" ht="30"><c r="B107" s="240" t="s"><v>1033</v></c><c r="C107" s="229" t="s"><v>1108</v></c><c r="D107" s="229" t="s"><v>1069</v></c><c r="E107" s="232"><v>2012</v></c><c r="F107" s="234"><v>16000</v></c><c r="G107" s="239"/><c r="H107" s="235"><v>29.783999999999999</v></c><c r="I107" s="235"><v>0</v></c><c r="J107" s="236"><v>15.904999999999999</v></c><c r="K107" s="350"><f>SUM(H107:H114)</f><v>71.400000000000006</v></c><c r="L107" s="350"><f t="shared" ref="L107:M107" si="9">SUM(I107:I114)</f><v>30</v></c><c r="M107" s="350"><f t="shared" si="9"/><v>72.41</v></c></row><row r="108" spans="2:13" s="33" customFormat="1" ht="30"><c r="B108" s="241" t="s"><v>1049</v></c><c r="C108" s="229" t="s"><v>1105</v></c><c r="D108" s="229" t="s"><v>1069</v></c><c r="E108" s="232"><v>2013</v></c><c r="F108" s="234"><v>20000</v></c><c r="G108" s="239"/><c r="H108" s="235"><v>8.8360000000000003</v></c><c r="I108" s="235"><v>0</v></c><c r="J108" s="236"><v>6.9720000000000004</v></c><c r="K108" s="350"/><c r="L108" s="350"/><c r="M108" s="350"/></row><row r="109" spans="2:13" s="33" customFormat="1" ht="30"><c r="B109" s="240" t="s"><v>1033</v></c><c r="C109" s="229" t="s"><v>1106</v></c><c r="D109" s="229" t="s"><v>1069</v></c><c r="E109" s="232"><v>2012</v></c><c r="F109" s="234"><v>1000</v></c><c r="G109" s="239"/><c r="H109" s="235"><v>2.78</v></c><c r="I109" s="235"><v>0</v></c><c r="J109" s="236"><v>2.1930000000000001</v></c><c r="K109" s="350"/><c r="L109" s="350"/><c r="M109" s="350"/></row><row r="110" spans="2:13" s="33" customFormat="1" ht="15" customHeight="1"><c r="B110" s="241" t="s"><v>1049</v></c><c r="C110" s="229" t="s"><v>1109</v></c><c r="D110" s="229" t="s"><v>1069</v></c><c r="E110" s="232"><v>2014</v></c><c r="F110" s="234"><v>15000</v></c><c r="G110" s="239"/><c r="H110" s="235"><v>30</v></c><c r="I110" s="235"><v>0</v></c><c r="J110" s="236"><f>H110*0.789</f><v>23.67</v></c><c r="K110" s="350"/><c r="L110" s="350"/><c r="M110" s="350"/></row><row r="111" spans="2:13" s="33" customFormat="1" ht="30"><c r="B111" s="240" t="s"><v>1036</v></c><c r="C111" s="229" t="s"><v>1107</v></c><c r="D111" s="229" t="s"><v>1069</v></c><c r="E111" s="232"><v>2014</v></c><c r="F111" s="234"><v>60000</v></c><c r="G111" s="239"/><c r="H111" s="235"><v>0</v></c><c r="I111" s="235"><v>30</v></c><c r="J111" s="236"><f>I111*0.789</f><v>23.67</v></c><c r="K111" s="350"/><c r="L111" s="350"/><c r="M111" s="350"/></row><row r="112" spans="2:13" s="33" customFormat="1" ht="15"><c r="B112" s="35"/><c r="C112" s="16"/><c r="D112" s="16"/><c r="E112" s="17"/><c r="F112" s="18"/><c r="G112" s="19"/><c r="H112" s="19"/><c r="I112" s="19"/><c r="J112" s="19"/><c r="K112" s="350"/><c r="L112" s="350"/><c r="M112" s="350"/></row><row r="113" spans="1:18" s="33" customFormat="1" ht="15" customHeight="1"><c r="B113" s="35"/><c r="C113" s="16"/><c r="D113" s="16"/><c r="E113" s="17"/><c r="F113" s="18"/><c r="G113" s="19"/><c r="H113" s="19"/><c r="I113" s="19"/><c r="J113" s="19"/><c r="K113" s="350"/><c r="L113" s="350"/><c r="M113" s="350"/></row><row r="114" spans="1:18" s="33" customFormat="1" ht="15"><c r="B114" s="165"/><c r="C114" s="16"/><c r="D114" s="16"/><c r="E114" s="17"/><c r="F114" s="18"/><c r="G114" s="19"/><c r="H114" s="19"/><c r="I114" s="19"/><c r="J114" s="19"/><c r="K114" s="350"/><c r="L114" s="350"/><c r="M114" s="350"/></row><row r="115" spans="1:18" s="33" customFormat="1" ht="15"><c r="B115" s="344" t="str"><f>Translation!A208</f><v>TOTAL</v></c><c r="C115" s="345"/><c r="D115" s="345"/><c r="E115" s="345"/><c r="F115" s="346"/><c r="G115" s="220"><f>SUM(G14:G114)</f><v>2267000</v></c><c r="H115" s="220"><f>SUM(H14:H114)</f><v>90741.280000000013</v></c><c r="I115" s="220"><f>SUM(I14:I114)</f><v>4663.8</v></c><c r="J115" s="220"><f>SUM(J14:J114)</f><v>34915.741999999991</v></c><c r="K115" s="36"><f>K14+K25+K29+K41+K53+K66+K81+K87+K91+K107</f><v>90741.28</v></c><c r="L115" s="36"><f t="shared" ref="L115:M115" si="10">L14+L25+L29+L41+L53+L66+L81+L87+L91+L107</f><v>4663.8</v></c><c r="M115" s="36"><f t="shared" si="10"/><v>34915.741999999998</v></c></row><row r="116" spans="1:18" ht="17.25" customHeight="1"><c r="B116" s="37"/><c r="C116" s="38"/><c r="D116" s="39"/><c r="E116" s="40"/><c r="F116" s="41"/><c r="J116" s="42"/></row><row r="117" spans="1:18" ht="17.25" customHeight="1"><c r="B117" s="37"/><c r="C117" s="38"/><c r="D117" s="39"/><c r="E117" s="40"/><c r="F117" s="41"/><c r="J117" s="42"/><c r="L117" s="21" t="s"><v>1124</v></c><c r="M117" s="365"><f>'Baseline emission inventory'!U122</f><v>199000.61570363957</v></c></row><row r="118" spans="1:18" ht="17.25" customHeight="1"><c r="B118" s="37"/><c r="C118" s="38"/><c r="D118" s="39"/><c r="E118" s="40"/><c r="F118" s="41"/><c r="J118" s="42"/><c r="L118" s="21" t="s"><v>1125</v></c><c r="M118" s="365"><f>'BAU 2020'!U122</f><v>193192.93651438027</v></c><c r="O118" s="21" t="s"><v>1126</v></c><c r="R118" s="21" t="s"><v>1127</v></c></row><row r="119" spans="1:18" ht="17.25" customHeight="1"><c r="B119" s="37"/><c r="C119" s="38"/><c r="D119" s="39"/><c r="E119" s="40"/><c r="F119" s="41"/><c r="J119" s="42"/><c r="L119" s="366" t="s"><v>1128</v></c><c r="M119" s="367"><f>M118-M115</f><v>158277.19451438027</v></c><c r="O119" s="368"><f>1-M119/M118</f><v>0.18072990985051385</v></c><c r="R119" s="368"><f>1-M119/M117</f><v>0.20463967433099006</v></c></row><row r="120" spans="1:18" s="107" customFormat="1" ht="36"><c r="A120" s="106" t="s"><v>10</v></c><c r="B120" s="343" t="str"><f>Translation!A209</f><v>WEBSITE</v></c><c r="C120" s="343"/><c r="D120" s="343"/><c r="E120" s="343"/><c r="F120" s="343"/><c r="G120" s="343"/><c r="H120" s="343"/><c r="I120" s="343"/><c r="J120" s="343"/><c r="K120" s="343"/><c r="L120" s="343"/><c r="M120" s="343"/></row><row r="121" spans="1:18" ht="15.75" customHeight="1"><c r="A121" s="43"/><c r="C121" s="44" t="str"><f>Translation!A210</f><v>Direct link to the webpage dedicated to ISEAP (if any)</v></c><c r="D121" s="340"/><c r="E121" s="341"/><c r="F121" s="341"/><c r="G121" s="341"/><c r="H121" s="342"/><c r="I121" s="26"/></row><row r="122" spans="1:18" ht="17.25" customHeight="1"><c r="B122" s="37"/><c r="J122" s="42"/></row><row r="123" spans="1:18" ht="12.75" customHeight="1"><c r="B123" s="28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23" s="287"/><c r="D123" s="287"/><c r="E123" s="287"/><c r="F123" s="287"/><c r="G123" s="287"/><c r="H123" s="287"/><c r="I123" s="287"/><c r="J123" s="287"/><c r="K123" s="287"/><c r="L123" s="287"/><c r="M123" s="287"/></row><row r="124" spans="1:18"><c r="B124" s="287"/><c r="C124" s="287"/><c r="D124" s="287"/><c r="E124" s="287"/><c r="F124" s="287"/><c r="G124" s="287"/><c r="H124" s="287"/><c r="I124" s="287"/><c r="J124" s="287"/><c r="K124" s="287"/><c r="L124" s="287"/><c r="M124" s="287"/></row><row r="125" spans="1:18"><c r="B125" s="287"/><c r="C125" s="287"/><c r="D125" s="287"/><c r="E125" s="287"/><c r="F125" s="287"/><c r="G125" s="287"/><c r="H125" s="287"/><c r="I125" s="287"/><c r="J125" s="287"/><c r="K125" s="287"/><c r="L125" s="287"/><c r="M125" s="287"/></row></sheetData><mergeCells count="52"><mergeCell ref="L81:L85"/><mergeCell ref="M81:M85"/><mergeCell ref="K66:K79"/><mergeCell ref="L66:L79"/><mergeCell ref="M66:M79"/><mergeCell ref="K81:K85"/><mergeCell ref="K53:K64"/><mergeCell ref="L53:L64"/><mergeCell ref="M53:M64"/><mergeCell ref="K41:K51"/><mergeCell ref="L41:L51"/><mergeCell ref="M41:M51"/><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29:K39"/><mergeCell ref="L29:L39"/><mergeCell ref="M29:M39"/><mergeCell ref="K25:K27"/><mergeCell ref="L25:L27"/><mergeCell ref="M25:M27"/><mergeCell ref="K14:K23"/><mergeCell ref="L14:L23"/><mergeCell ref="M14:M23"/><mergeCell ref="B123:M125"/><mergeCell ref="D121:H121"/><mergeCell ref="B120:M120"/><mergeCell ref="B115:F115"/><mergeCell ref="K87:K89"/><mergeCell ref="L87:L89"/><mergeCell ref="M87:M89"/><mergeCell ref="K107:K114"/><mergeCell ref="L107:L114"/><mergeCell ref="M107:M114"/><mergeCell ref="K91:K105"/><mergeCell ref="L91:L105"/><mergeCell ref="M91:M105"/></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1433197-54C4-4B43-9F20-5E842415D868}"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2.xml><?xml version="1.0" encoding="UTF-8" standalone="no"?>
<ds:datastoreItem ds:itemID_"{53D6F5F5-66EF-4822-82EA-3C6C23BCC368}" xmlns:ds="http://schemas.openxmlformats.org/officeDocument/2006/customXml"><ds:schemaRefs><ds:schemaRef ds:uri="http://schemas.microsoft.com/sharepoint/v3/contenttype/forms"/></ds:schemaRefs></ds:datastoreItem>
</file>

<file path=customXml/itemProps3.xml><?xml version="1.0" encoding="UTF-8" standalone="no"?>
<ds:datastoreItem ds:itemID_"{9B545B48-F18D-4994-B761-5827C56CEB6E}"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2012-06-11T10:37:29Z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