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15" windowWidth="28860" windowHeight="6375" tabRatio="676" activeTab="6"/></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C128" i="8"/>
  <c r="G92"/>
  <c r="G93"/>
  <c r="J92"/>
  <c r="J93"/>
  <c r="J95"/>
  <c r="G102"/>
  <c r="J102"/>
  <c r="G105"/>
  <c r="G106"/>
  <c r="G107"/>
  <c r="J105"/>
  <c r="J106"/>
  <c r="J107"/>
  <c r="C76"/>
  <c r="G67"/>
  <c r="D76"/>
  <c r="E76"/>
  <c r="F76"/>
  <c r="D67"/>
  <c r="C67"/>
  <c r="G58"/>
  <c r="D58"/>
  <c r="C58"/>
  <c r="I47"/>
  <c r="I43" s="1"/>
  <c r="H47"/>
  <c r="I45"/>
  <c r="H45"/>
  <c r="I44"/>
  <c r="H44"/>
  <c r="C44"/>
  <c r="J41"/>
  <c r="J40"/>
  <c r="J39"/>
  <c r="J38"/>
  <c r="J37"/>
  <c r="J36"/>
  <c r="J35"/>
  <c r="G41"/>
  <c r="G40"/>
  <c r="G39"/>
  <c r="G38"/>
  <c r="G37"/>
  <c r="G36"/>
  <c r="G35"/>
  <c r="C42"/>
  <c r="C41"/>
  <c r="C40"/>
  <c r="C39"/>
  <c r="C38"/>
  <c r="C37"/>
  <c r="C36"/>
  <c r="C35"/>
  <c r="J33"/>
  <c r="J32"/>
  <c r="J31"/>
  <c r="M31" s="1"/>
  <c r="G33"/>
  <c r="M33" s="1"/>
  <c r="G32"/>
  <c r="G31"/>
  <c r="C33"/>
  <c r="C32"/>
  <c r="C31"/>
  <c r="J28"/>
  <c r="G28"/>
  <c r="C28"/>
  <c r="C26"/>
  <c r="J21"/>
  <c r="J19"/>
  <c r="J18"/>
  <c r="G19"/>
  <c r="G18"/>
  <c r="C21"/>
  <c r="C20"/>
  <c r="C19"/>
  <c r="C18"/>
  <c r="R120" i="1"/>
  <c r="O120"/>
  <c r="M120"/>
  <c r="M119"/>
  <c r="M118"/>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P130"/>
  <c r="L130"/>
  <c r="H130"/>
  <c r="G130"/>
  <c r="F130"/>
  <c r="E130"/>
  <c r="D130"/>
  <c r="C130"/>
  <c r="B130"/>
  <c r="U129"/>
  <c r="P129"/>
  <c r="N129"/>
  <c r="L129"/>
  <c r="J129"/>
  <c r="H129"/>
  <c r="G129"/>
  <c r="F129"/>
  <c r="E129"/>
  <c r="D129"/>
  <c r="C129"/>
  <c r="I129" s="1"/>
  <c r="B129"/>
  <c r="U128"/>
  <c r="P128"/>
  <c r="P131" s="1"/>
  <c r="O128"/>
  <c r="L128"/>
  <c r="L131" s="1"/>
  <c r="K128"/>
  <c r="H128"/>
  <c r="H131" s="1"/>
  <c r="G128"/>
  <c r="G131" s="1"/>
  <c r="F128"/>
  <c r="F131" s="1"/>
  <c r="E128"/>
  <c r="E131" s="1"/>
  <c r="D128"/>
  <c r="D131" s="1"/>
  <c r="C128"/>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L121"/>
  <c r="K121"/>
  <c r="J121"/>
  <c r="I121"/>
  <c r="H121"/>
  <c r="G121"/>
  <c r="B121"/>
  <c r="S120"/>
  <c r="R120"/>
  <c r="R117" s="1"/>
  <c r="Q120"/>
  <c r="P120"/>
  <c r="O120"/>
  <c r="N120"/>
  <c r="T120" s="1"/>
  <c r="L120"/>
  <c r="K120"/>
  <c r="J120"/>
  <c r="I120"/>
  <c r="H120"/>
  <c r="G120"/>
  <c r="M120" s="1"/>
  <c r="B120"/>
  <c r="S119"/>
  <c r="R119"/>
  <c r="Q119"/>
  <c r="P119"/>
  <c r="O119"/>
  <c r="N119"/>
  <c r="L119"/>
  <c r="K119"/>
  <c r="J119"/>
  <c r="I119"/>
  <c r="H119"/>
  <c r="G119"/>
  <c r="M119" s="1"/>
  <c r="B119"/>
  <c r="S118"/>
  <c r="R118"/>
  <c r="Q118"/>
  <c r="P118"/>
  <c r="O118"/>
  <c r="N118"/>
  <c r="L118"/>
  <c r="K118"/>
  <c r="K117" s="1"/>
  <c r="J118"/>
  <c r="I118"/>
  <c r="H118"/>
  <c r="G118"/>
  <c r="M118" s="1"/>
  <c r="B118"/>
  <c r="S117"/>
  <c r="Q117"/>
  <c r="P117"/>
  <c r="O117"/>
  <c r="L117"/>
  <c r="J117"/>
  <c r="I117"/>
  <c r="H117"/>
  <c r="B117"/>
  <c r="S116"/>
  <c r="R116"/>
  <c r="Q116"/>
  <c r="P116"/>
  <c r="O116"/>
  <c r="N116"/>
  <c r="T116" s="1"/>
  <c r="L116"/>
  <c r="K116"/>
  <c r="J116"/>
  <c r="I116"/>
  <c r="H116"/>
  <c r="G116"/>
  <c r="M116" s="1"/>
  <c r="B116"/>
  <c r="S115"/>
  <c r="R115"/>
  <c r="Q115"/>
  <c r="P115"/>
  <c r="O115"/>
  <c r="N115"/>
  <c r="L115"/>
  <c r="K115"/>
  <c r="J115"/>
  <c r="I115"/>
  <c r="H115"/>
  <c r="G115"/>
  <c r="M115" s="1"/>
  <c r="B115"/>
  <c r="S114"/>
  <c r="R114"/>
  <c r="Q114"/>
  <c r="P114"/>
  <c r="O114"/>
  <c r="N114"/>
  <c r="L114"/>
  <c r="K114"/>
  <c r="J114"/>
  <c r="I114"/>
  <c r="H114"/>
  <c r="G114"/>
  <c r="M114" s="1"/>
  <c r="B114"/>
  <c r="S113"/>
  <c r="R113"/>
  <c r="Q113"/>
  <c r="P113"/>
  <c r="O113"/>
  <c r="N113"/>
  <c r="L113"/>
  <c r="K113"/>
  <c r="J113"/>
  <c r="I113"/>
  <c r="H113"/>
  <c r="G113"/>
  <c r="B113"/>
  <c r="S112"/>
  <c r="R112"/>
  <c r="Q112"/>
  <c r="P112"/>
  <c r="O112"/>
  <c r="N112"/>
  <c r="T112" s="1"/>
  <c r="L112"/>
  <c r="K112"/>
  <c r="J112"/>
  <c r="I112"/>
  <c r="H112"/>
  <c r="G112"/>
  <c r="M112" s="1"/>
  <c r="B112"/>
  <c r="S111"/>
  <c r="R111"/>
  <c r="Q111"/>
  <c r="P111"/>
  <c r="O111"/>
  <c r="N111"/>
  <c r="L111"/>
  <c r="K111"/>
  <c r="J111"/>
  <c r="I111"/>
  <c r="H111"/>
  <c r="G111"/>
  <c r="M111" s="1"/>
  <c r="B111"/>
  <c r="S110"/>
  <c r="R110"/>
  <c r="Q110"/>
  <c r="P110"/>
  <c r="O110"/>
  <c r="N110"/>
  <c r="L110"/>
  <c r="K110"/>
  <c r="K108" s="1"/>
  <c r="J110"/>
  <c r="I110"/>
  <c r="H110"/>
  <c r="G110"/>
  <c r="M110" s="1"/>
  <c r="B110"/>
  <c r="S109"/>
  <c r="S108" s="1"/>
  <c r="R109"/>
  <c r="Q109"/>
  <c r="P109"/>
  <c r="O109"/>
  <c r="O108" s="1"/>
  <c r="N109"/>
  <c r="L109"/>
  <c r="K109"/>
  <c r="J109"/>
  <c r="J108" s="1"/>
  <c r="I109"/>
  <c r="H109"/>
  <c r="G109"/>
  <c r="B109"/>
  <c r="R108"/>
  <c r="Q108"/>
  <c r="P108"/>
  <c r="N108"/>
  <c r="L108"/>
  <c r="I108"/>
  <c r="H108"/>
  <c r="B108"/>
  <c r="S107"/>
  <c r="R107"/>
  <c r="Q107"/>
  <c r="P107"/>
  <c r="O107"/>
  <c r="N107"/>
  <c r="L107"/>
  <c r="K107"/>
  <c r="J107"/>
  <c r="I107"/>
  <c r="H107"/>
  <c r="G107"/>
  <c r="M107" s="1"/>
  <c r="B107"/>
  <c r="S106"/>
  <c r="R106"/>
  <c r="Q106"/>
  <c r="P106"/>
  <c r="O106"/>
  <c r="N106"/>
  <c r="L106"/>
  <c r="K106"/>
  <c r="K104" s="1"/>
  <c r="J106"/>
  <c r="I106"/>
  <c r="H106"/>
  <c r="G106"/>
  <c r="M106" s="1"/>
  <c r="B106"/>
  <c r="S105"/>
  <c r="S104" s="1"/>
  <c r="R105"/>
  <c r="Q105"/>
  <c r="P105"/>
  <c r="O105"/>
  <c r="O104" s="1"/>
  <c r="N105"/>
  <c r="L105"/>
  <c r="K105"/>
  <c r="J105"/>
  <c r="J104" s="1"/>
  <c r="I105"/>
  <c r="H105"/>
  <c r="G105"/>
  <c r="B105"/>
  <c r="R104"/>
  <c r="Q104"/>
  <c r="P104"/>
  <c r="N104"/>
  <c r="L104"/>
  <c r="I104"/>
  <c r="H104"/>
  <c r="B104"/>
  <c r="S103"/>
  <c r="R103"/>
  <c r="Q103"/>
  <c r="P103"/>
  <c r="O103"/>
  <c r="N103"/>
  <c r="L103"/>
  <c r="K103"/>
  <c r="J103"/>
  <c r="I103"/>
  <c r="H103"/>
  <c r="G103"/>
  <c r="M103" s="1"/>
  <c r="B103"/>
  <c r="S102"/>
  <c r="R102"/>
  <c r="Q102"/>
  <c r="P102"/>
  <c r="O102"/>
  <c r="N102"/>
  <c r="L102"/>
  <c r="K102"/>
  <c r="K101" s="1"/>
  <c r="J102"/>
  <c r="I102"/>
  <c r="H102"/>
  <c r="G102"/>
  <c r="M102" s="1"/>
  <c r="B102"/>
  <c r="S101"/>
  <c r="R101"/>
  <c r="Q101"/>
  <c r="P101"/>
  <c r="O101"/>
  <c r="N101"/>
  <c r="L101"/>
  <c r="J101"/>
  <c r="I101"/>
  <c r="H101"/>
  <c r="B101"/>
  <c r="S100"/>
  <c r="R100"/>
  <c r="Q100"/>
  <c r="P100"/>
  <c r="O100"/>
  <c r="N100"/>
  <c r="T100" s="1"/>
  <c r="L100"/>
  <c r="K100"/>
  <c r="J100"/>
  <c r="I100"/>
  <c r="H100"/>
  <c r="G100"/>
  <c r="M100" s="1"/>
  <c r="B100"/>
  <c r="S99"/>
  <c r="R99"/>
  <c r="Q99"/>
  <c r="P99"/>
  <c r="O99"/>
  <c r="N99"/>
  <c r="L99"/>
  <c r="K99"/>
  <c r="J99"/>
  <c r="I99"/>
  <c r="H99"/>
  <c r="G99"/>
  <c r="M99" s="1"/>
  <c r="B99"/>
  <c r="S98"/>
  <c r="R98"/>
  <c r="Q98"/>
  <c r="P98"/>
  <c r="O98"/>
  <c r="N98"/>
  <c r="L98"/>
  <c r="K98"/>
  <c r="J98"/>
  <c r="I98"/>
  <c r="H98"/>
  <c r="G98"/>
  <c r="M98" s="1"/>
  <c r="B98"/>
  <c r="S97"/>
  <c r="R97"/>
  <c r="Q97"/>
  <c r="P97"/>
  <c r="O97"/>
  <c r="N97"/>
  <c r="L97"/>
  <c r="K97"/>
  <c r="J97"/>
  <c r="I97"/>
  <c r="H97"/>
  <c r="G97"/>
  <c r="B97"/>
  <c r="S96"/>
  <c r="R96"/>
  <c r="Q96"/>
  <c r="P96"/>
  <c r="O96"/>
  <c r="N96"/>
  <c r="T96" s="1"/>
  <c r="L96"/>
  <c r="K96"/>
  <c r="J96"/>
  <c r="I96"/>
  <c r="H96"/>
  <c r="G96"/>
  <c r="M96" s="1"/>
  <c r="B96"/>
  <c r="S95"/>
  <c r="R95"/>
  <c r="Q95"/>
  <c r="P95"/>
  <c r="O95"/>
  <c r="N95"/>
  <c r="L95"/>
  <c r="K95"/>
  <c r="J95"/>
  <c r="I95"/>
  <c r="H95"/>
  <c r="G95"/>
  <c r="M95" s="1"/>
  <c r="B95"/>
  <c r="S94"/>
  <c r="R94"/>
  <c r="Q94"/>
  <c r="P94"/>
  <c r="O94"/>
  <c r="N94"/>
  <c r="L94"/>
  <c r="K94"/>
  <c r="K91" s="1"/>
  <c r="J94"/>
  <c r="I94"/>
  <c r="H94"/>
  <c r="G94"/>
  <c r="M94" s="1"/>
  <c r="B94"/>
  <c r="S93"/>
  <c r="S91" s="1"/>
  <c r="R93"/>
  <c r="Q93"/>
  <c r="P93"/>
  <c r="O93"/>
  <c r="O91" s="1"/>
  <c r="N93"/>
  <c r="L93"/>
  <c r="K93"/>
  <c r="J93"/>
  <c r="J91" s="1"/>
  <c r="I93"/>
  <c r="H93"/>
  <c r="G93"/>
  <c r="B93"/>
  <c r="S92"/>
  <c r="R92"/>
  <c r="R91" s="1"/>
  <c r="R122" s="1"/>
  <c r="Q92"/>
  <c r="P92"/>
  <c r="O92"/>
  <c r="N92"/>
  <c r="T92" s="1"/>
  <c r="L92"/>
  <c r="K92"/>
  <c r="J92"/>
  <c r="I92"/>
  <c r="H92"/>
  <c r="G92"/>
  <c r="M92" s="1"/>
  <c r="B92"/>
  <c r="Q91"/>
  <c r="Q122" s="1"/>
  <c r="P91"/>
  <c r="P122" s="1"/>
  <c r="L91"/>
  <c r="L122" s="1"/>
  <c r="I91"/>
  <c r="I122" s="1"/>
  <c r="H91"/>
  <c r="H122" s="1"/>
  <c r="B91"/>
  <c r="T90"/>
  <c r="S90"/>
  <c r="R90"/>
  <c r="Q90"/>
  <c r="P90"/>
  <c r="O90"/>
  <c r="N90"/>
  <c r="M90"/>
  <c r="L90"/>
  <c r="K90"/>
  <c r="J90"/>
  <c r="I90"/>
  <c r="H90"/>
  <c r="G90"/>
  <c r="F90"/>
  <c r="E90"/>
  <c r="D90"/>
  <c r="C90"/>
  <c r="B90"/>
  <c r="U89"/>
  <c r="N89"/>
  <c r="G89"/>
  <c r="C89"/>
  <c r="C88"/>
  <c r="B88"/>
  <c r="U87"/>
  <c r="B87"/>
  <c r="B86"/>
  <c r="P84"/>
  <c r="H84"/>
  <c r="G84"/>
  <c r="F84"/>
  <c r="E84"/>
  <c r="D84"/>
  <c r="C84"/>
  <c r="B84"/>
  <c r="P83"/>
  <c r="I83"/>
  <c r="H83"/>
  <c r="G83"/>
  <c r="F83"/>
  <c r="E83"/>
  <c r="D83"/>
  <c r="C83"/>
  <c r="B83"/>
  <c r="J82"/>
  <c r="H82"/>
  <c r="G82"/>
  <c r="F82"/>
  <c r="E82"/>
  <c r="D82"/>
  <c r="C82"/>
  <c r="B82"/>
  <c r="R81"/>
  <c r="Q81"/>
  <c r="P81"/>
  <c r="O81"/>
  <c r="N81"/>
  <c r="M81"/>
  <c r="L81"/>
  <c r="K81"/>
  <c r="J81"/>
  <c r="I81"/>
  <c r="H81"/>
  <c r="G81"/>
  <c r="F81"/>
  <c r="E81"/>
  <c r="D81"/>
  <c r="C81"/>
  <c r="B81"/>
  <c r="S80"/>
  <c r="J80"/>
  <c r="C80"/>
  <c r="C79"/>
  <c r="B79"/>
  <c r="S78"/>
  <c r="B78"/>
  <c r="X76"/>
  <c r="W76"/>
  <c r="U76"/>
  <c r="P76"/>
  <c r="P137" s="1"/>
  <c r="B76"/>
  <c r="X75"/>
  <c r="W75"/>
  <c r="V75"/>
  <c r="U75"/>
  <c r="T75"/>
  <c r="S75"/>
  <c r="R75"/>
  <c r="Q75"/>
  <c r="P75"/>
  <c r="O75"/>
  <c r="N75"/>
  <c r="M75"/>
  <c r="L75"/>
  <c r="K75"/>
  <c r="J75"/>
  <c r="I75"/>
  <c r="H75"/>
  <c r="G75"/>
  <c r="F75"/>
  <c r="E75"/>
  <c r="D75"/>
  <c r="C75"/>
  <c r="Y74"/>
  <c r="X74"/>
  <c r="W74"/>
  <c r="S74"/>
  <c r="J74"/>
  <c r="C74"/>
  <c r="C73"/>
  <c r="B73"/>
  <c r="Y72"/>
  <c r="B72"/>
  <c r="Q70"/>
  <c r="Q76" s="1"/>
  <c r="Q137" s="1"/>
  <c r="P70"/>
  <c r="M70"/>
  <c r="L70"/>
  <c r="H70"/>
  <c r="G70"/>
  <c r="F70"/>
  <c r="E70"/>
  <c r="D70"/>
  <c r="C70"/>
  <c r="B70"/>
  <c r="Q69"/>
  <c r="Q130" s="1"/>
  <c r="P69"/>
  <c r="O69"/>
  <c r="O84" s="1"/>
  <c r="N69"/>
  <c r="M69"/>
  <c r="M130" s="1"/>
  <c r="L69"/>
  <c r="L84" s="1"/>
  <c r="K69"/>
  <c r="K130" s="1"/>
  <c r="J69"/>
  <c r="I69"/>
  <c r="I84" s="1"/>
  <c r="B69"/>
  <c r="Q68"/>
  <c r="Q129" s="1"/>
  <c r="P68"/>
  <c r="O68"/>
  <c r="O83" s="1"/>
  <c r="N68"/>
  <c r="N83" s="1"/>
  <c r="M68"/>
  <c r="M129" s="1"/>
  <c r="L68"/>
  <c r="L83" s="1"/>
  <c r="K68"/>
  <c r="K83" s="1"/>
  <c r="J68"/>
  <c r="J83" s="1"/>
  <c r="I68"/>
  <c r="B68"/>
  <c r="Q67"/>
  <c r="Q128" s="1"/>
  <c r="Q131" s="1"/>
  <c r="P67"/>
  <c r="P82" s="1"/>
  <c r="O67"/>
  <c r="O82" s="1"/>
  <c r="N67"/>
  <c r="M67"/>
  <c r="M128" s="1"/>
  <c r="M131" s="1"/>
  <c r="L67"/>
  <c r="L82" s="1"/>
  <c r="K67"/>
  <c r="K82" s="1"/>
  <c r="J67"/>
  <c r="I67"/>
  <c r="B67"/>
  <c r="R66"/>
  <c r="Q66"/>
  <c r="P66"/>
  <c r="O66"/>
  <c r="N66"/>
  <c r="M66"/>
  <c r="L66"/>
  <c r="K66"/>
  <c r="J66"/>
  <c r="I66"/>
  <c r="H66"/>
  <c r="G66"/>
  <c r="F66"/>
  <c r="E66"/>
  <c r="D66"/>
  <c r="C66"/>
  <c r="B66"/>
  <c r="S65"/>
  <c r="J65"/>
  <c r="C65"/>
  <c r="T64"/>
  <c r="C64"/>
  <c r="B64"/>
  <c r="T63"/>
  <c r="B63"/>
  <c r="Z61"/>
  <c r="T76" s="1"/>
  <c r="T137" s="1"/>
  <c r="Y61"/>
  <c r="S76" s="1"/>
  <c r="S137" s="1"/>
  <c r="X61"/>
  <c r="W61"/>
  <c r="V61"/>
  <c r="U61"/>
  <c r="T61"/>
  <c r="Q61"/>
  <c r="P61"/>
  <c r="O61"/>
  <c r="N61"/>
  <c r="M61"/>
  <c r="L61"/>
  <c r="K61"/>
  <c r="J61"/>
  <c r="I61"/>
  <c r="H61"/>
  <c r="G61"/>
  <c r="F61"/>
  <c r="E61"/>
  <c r="D61"/>
  <c r="C61"/>
  <c r="B61"/>
  <c r="AA60"/>
  <c r="AB60" s="1"/>
  <c r="V60"/>
  <c r="S60"/>
  <c r="W130" s="1"/>
  <c r="X137" s="1"/>
  <c r="R60"/>
  <c r="I60"/>
  <c r="B60"/>
  <c r="AB59"/>
  <c r="AA59"/>
  <c r="V59"/>
  <c r="R59"/>
  <c r="I59"/>
  <c r="B59"/>
  <c r="AB58"/>
  <c r="AB61" s="1"/>
  <c r="AA58"/>
  <c r="AA61" s="1"/>
  <c r="V58"/>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H52"/>
  <c r="G52"/>
  <c r="E52"/>
  <c r="D52"/>
  <c r="C52"/>
  <c r="F52" s="1"/>
  <c r="B52"/>
  <c r="T51"/>
  <c r="M51"/>
  <c r="F51"/>
  <c r="B51"/>
  <c r="U50"/>
  <c r="T50"/>
  <c r="M50"/>
  <c r="F50"/>
  <c r="B50"/>
  <c r="T49"/>
  <c r="M49"/>
  <c r="F49"/>
  <c r="U49" s="1"/>
  <c r="B49"/>
  <c r="R48"/>
  <c r="B48"/>
  <c r="T47"/>
  <c r="M47"/>
  <c r="F47"/>
  <c r="U47" s="1"/>
  <c r="B47"/>
  <c r="T46"/>
  <c r="M46"/>
  <c r="F46"/>
  <c r="U46" s="1"/>
  <c r="B46"/>
  <c r="T45"/>
  <c r="M45"/>
  <c r="U45" s="1"/>
  <c r="F45"/>
  <c r="B45"/>
  <c r="T44"/>
  <c r="M44"/>
  <c r="F44"/>
  <c r="U44" s="1"/>
  <c r="B44"/>
  <c r="S43"/>
  <c r="R43"/>
  <c r="Q43"/>
  <c r="P43"/>
  <c r="O43"/>
  <c r="N43"/>
  <c r="L43"/>
  <c r="K43"/>
  <c r="J43"/>
  <c r="I43"/>
  <c r="H43"/>
  <c r="G43"/>
  <c r="M43" s="1"/>
  <c r="E43"/>
  <c r="D43"/>
  <c r="C43"/>
  <c r="F43" s="1"/>
  <c r="B43"/>
  <c r="T42"/>
  <c r="M42"/>
  <c r="F42"/>
  <c r="U42" s="1"/>
  <c r="B42"/>
  <c r="T41"/>
  <c r="M41"/>
  <c r="F41"/>
  <c r="B41"/>
  <c r="U40"/>
  <c r="T40"/>
  <c r="M40"/>
  <c r="F40"/>
  <c r="B40"/>
  <c r="T39"/>
  <c r="M39"/>
  <c r="F39"/>
  <c r="U39" s="1"/>
  <c r="B39"/>
  <c r="T38"/>
  <c r="M38"/>
  <c r="F38"/>
  <c r="U38" s="1"/>
  <c r="B38"/>
  <c r="T37"/>
  <c r="M37"/>
  <c r="F37"/>
  <c r="B37"/>
  <c r="T36"/>
  <c r="M36"/>
  <c r="U36" s="1"/>
  <c r="F36"/>
  <c r="B36"/>
  <c r="U35"/>
  <c r="T35"/>
  <c r="M35"/>
  <c r="F35"/>
  <c r="B35"/>
  <c r="S34"/>
  <c r="R34"/>
  <c r="Q34"/>
  <c r="P34"/>
  <c r="O34"/>
  <c r="N34"/>
  <c r="L34"/>
  <c r="K34"/>
  <c r="J34"/>
  <c r="I34"/>
  <c r="M34" s="1"/>
  <c r="H34"/>
  <c r="G34"/>
  <c r="E34"/>
  <c r="D34"/>
  <c r="C34"/>
  <c r="F34" s="1"/>
  <c r="B34"/>
  <c r="U33"/>
  <c r="T33"/>
  <c r="M33"/>
  <c r="F33"/>
  <c r="B33"/>
  <c r="T32"/>
  <c r="M32"/>
  <c r="F32"/>
  <c r="B32"/>
  <c r="U31"/>
  <c r="T31"/>
  <c r="M31"/>
  <c r="F31"/>
  <c r="B31"/>
  <c r="S30"/>
  <c r="R30"/>
  <c r="Q30"/>
  <c r="P30"/>
  <c r="O30"/>
  <c r="N30"/>
  <c r="T30" s="1"/>
  <c r="L30"/>
  <c r="K30"/>
  <c r="J30"/>
  <c r="I30"/>
  <c r="M30" s="1"/>
  <c r="H30"/>
  <c r="G30"/>
  <c r="F30"/>
  <c r="U30" s="1"/>
  <c r="E30"/>
  <c r="E48" s="1"/>
  <c r="D30"/>
  <c r="C30"/>
  <c r="B30"/>
  <c r="T29"/>
  <c r="M29"/>
  <c r="F29"/>
  <c r="U29" s="1"/>
  <c r="B29"/>
  <c r="T28"/>
  <c r="M28"/>
  <c r="F28"/>
  <c r="U28" s="1"/>
  <c r="B28"/>
  <c r="S27"/>
  <c r="R27"/>
  <c r="Q27"/>
  <c r="P27"/>
  <c r="T27" s="1"/>
  <c r="O27"/>
  <c r="N27"/>
  <c r="N48" s="1"/>
  <c r="L27"/>
  <c r="K27"/>
  <c r="K48" s="1"/>
  <c r="G76" s="1"/>
  <c r="G137" s="1"/>
  <c r="J27"/>
  <c r="J48" s="1"/>
  <c r="F76" s="1"/>
  <c r="F137" s="1"/>
  <c r="I27"/>
  <c r="H27"/>
  <c r="G27"/>
  <c r="M27" s="1"/>
  <c r="E27"/>
  <c r="D27"/>
  <c r="C27"/>
  <c r="F27" s="1"/>
  <c r="B27"/>
  <c r="T26"/>
  <c r="M26"/>
  <c r="F26"/>
  <c r="U26" s="1"/>
  <c r="B26"/>
  <c r="T25"/>
  <c r="M25"/>
  <c r="U25" s="1"/>
  <c r="F25"/>
  <c r="B25"/>
  <c r="T24"/>
  <c r="M24"/>
  <c r="F24"/>
  <c r="U24" s="1"/>
  <c r="B24"/>
  <c r="U23"/>
  <c r="T23"/>
  <c r="M23"/>
  <c r="F23"/>
  <c r="B23"/>
  <c r="T22"/>
  <c r="M22"/>
  <c r="F22"/>
  <c r="B22"/>
  <c r="U21"/>
  <c r="T21"/>
  <c r="M21"/>
  <c r="F21"/>
  <c r="B21"/>
  <c r="T20"/>
  <c r="M20"/>
  <c r="F20"/>
  <c r="U20" s="1"/>
  <c r="B20"/>
  <c r="T19"/>
  <c r="M19"/>
  <c r="F19"/>
  <c r="U19" s="1"/>
  <c r="B19"/>
  <c r="T18"/>
  <c r="M18"/>
  <c r="F18"/>
  <c r="B18"/>
  <c r="S17"/>
  <c r="S48" s="1"/>
  <c r="R17"/>
  <c r="Q17"/>
  <c r="Q48" s="1"/>
  <c r="M76" s="1"/>
  <c r="M137" s="1"/>
  <c r="P17"/>
  <c r="O17"/>
  <c r="O48" s="1"/>
  <c r="N17"/>
  <c r="L17"/>
  <c r="L48" s="1"/>
  <c r="H76" s="1"/>
  <c r="H137" s="1"/>
  <c r="K17"/>
  <c r="J17"/>
  <c r="I17"/>
  <c r="I48" s="1"/>
  <c r="E76" s="1"/>
  <c r="E137" s="1"/>
  <c r="H17"/>
  <c r="H48" s="1"/>
  <c r="D76" s="1"/>
  <c r="D137" s="1"/>
  <c r="G17"/>
  <c r="E17"/>
  <c r="D17"/>
  <c r="D48" s="1"/>
  <c r="C17"/>
  <c r="B17"/>
  <c r="T16"/>
  <c r="S16"/>
  <c r="R16"/>
  <c r="Q16"/>
  <c r="P16"/>
  <c r="O16"/>
  <c r="N16"/>
  <c r="M16"/>
  <c r="L16"/>
  <c r="K16"/>
  <c r="J16"/>
  <c r="I16"/>
  <c r="H16"/>
  <c r="G16"/>
  <c r="F16"/>
  <c r="E16"/>
  <c r="D16"/>
  <c r="C16"/>
  <c r="B16"/>
  <c r="U15"/>
  <c r="N15"/>
  <c r="G15"/>
  <c r="C15"/>
  <c r="C14"/>
  <c r="B14"/>
  <c r="U13"/>
  <c r="B13"/>
  <c r="B12"/>
  <c r="C10"/>
  <c r="B10"/>
  <c r="E8"/>
  <c r="B8"/>
  <c r="B7"/>
  <c r="S6"/>
  <c r="A4"/>
  <c r="T2"/>
  <c r="J2"/>
  <c r="I2"/>
  <c r="A1"/>
  <c r="C52" i="8"/>
  <c r="R43"/>
  <c r="S43"/>
  <c r="N43"/>
  <c r="O43"/>
  <c r="G43"/>
  <c r="H43"/>
  <c r="J43"/>
  <c r="K43"/>
  <c r="Q43"/>
  <c r="P43"/>
  <c r="N34"/>
  <c r="O34"/>
  <c r="P34"/>
  <c r="Q34"/>
  <c r="R34"/>
  <c r="S34"/>
  <c r="T29"/>
  <c r="U29" s="1"/>
  <c r="M20"/>
  <c r="M21"/>
  <c r="M22"/>
  <c r="M23"/>
  <c r="M24"/>
  <c r="M25"/>
  <c r="M26"/>
  <c r="M29"/>
  <c r="T42"/>
  <c r="T41"/>
  <c r="T40"/>
  <c r="T39"/>
  <c r="T38"/>
  <c r="T37"/>
  <c r="T36"/>
  <c r="T35"/>
  <c r="T33"/>
  <c r="T32"/>
  <c r="T31"/>
  <c r="T28"/>
  <c r="T20"/>
  <c r="T21"/>
  <c r="T22"/>
  <c r="T23"/>
  <c r="T24"/>
  <c r="T25"/>
  <c r="T26"/>
  <c r="M32" l="1"/>
  <c r="M28"/>
  <c r="M19"/>
  <c r="S61" i="9"/>
  <c r="AC58"/>
  <c r="E121"/>
  <c r="E120"/>
  <c r="E119"/>
  <c r="E118"/>
  <c r="E116"/>
  <c r="E115"/>
  <c r="E114"/>
  <c r="E113"/>
  <c r="E112"/>
  <c r="E111"/>
  <c r="E110"/>
  <c r="E109"/>
  <c r="E107"/>
  <c r="E106"/>
  <c r="E105"/>
  <c r="E104" s="1"/>
  <c r="E103"/>
  <c r="E102"/>
  <c r="E100"/>
  <c r="E99"/>
  <c r="E98"/>
  <c r="E97"/>
  <c r="E96"/>
  <c r="E95"/>
  <c r="E94"/>
  <c r="E93"/>
  <c r="E92"/>
  <c r="T48"/>
  <c r="J76"/>
  <c r="J122"/>
  <c r="O122"/>
  <c r="S122"/>
  <c r="U27"/>
  <c r="U52"/>
  <c r="K122"/>
  <c r="D121"/>
  <c r="D120"/>
  <c r="D119"/>
  <c r="D118"/>
  <c r="D116"/>
  <c r="D115"/>
  <c r="D114"/>
  <c r="D113"/>
  <c r="D112"/>
  <c r="D111"/>
  <c r="D110"/>
  <c r="D109"/>
  <c r="D107"/>
  <c r="D106"/>
  <c r="D105"/>
  <c r="D103"/>
  <c r="D102"/>
  <c r="D101" s="1"/>
  <c r="D100"/>
  <c r="D99"/>
  <c r="D98"/>
  <c r="D97"/>
  <c r="D96"/>
  <c r="D95"/>
  <c r="D94"/>
  <c r="D93"/>
  <c r="D92"/>
  <c r="J70"/>
  <c r="J128"/>
  <c r="N70"/>
  <c r="N76" s="1"/>
  <c r="N137" s="1"/>
  <c r="N128"/>
  <c r="J130"/>
  <c r="J84"/>
  <c r="N130"/>
  <c r="N84"/>
  <c r="M17"/>
  <c r="G48"/>
  <c r="V76"/>
  <c r="K84"/>
  <c r="T104"/>
  <c r="T108"/>
  <c r="C131"/>
  <c r="F17"/>
  <c r="U17" s="1"/>
  <c r="P48"/>
  <c r="L76" s="1"/>
  <c r="L137" s="1"/>
  <c r="T17"/>
  <c r="U37"/>
  <c r="S59"/>
  <c r="AC60"/>
  <c r="AD60" s="1"/>
  <c r="R67"/>
  <c r="R69"/>
  <c r="I82"/>
  <c r="G91"/>
  <c r="T93"/>
  <c r="T97"/>
  <c r="T101"/>
  <c r="T105"/>
  <c r="T109"/>
  <c r="T113"/>
  <c r="N117"/>
  <c r="T117" s="1"/>
  <c r="T121"/>
  <c r="I128"/>
  <c r="K129"/>
  <c r="K131" s="1"/>
  <c r="I130"/>
  <c r="O130"/>
  <c r="U18"/>
  <c r="U41"/>
  <c r="T43"/>
  <c r="U43" s="1"/>
  <c r="U51"/>
  <c r="M52"/>
  <c r="S67"/>
  <c r="K70"/>
  <c r="K76" s="1"/>
  <c r="K137" s="1"/>
  <c r="N82"/>
  <c r="M83"/>
  <c r="T94"/>
  <c r="T98"/>
  <c r="T102"/>
  <c r="G104"/>
  <c r="M104" s="1"/>
  <c r="T106"/>
  <c r="G108"/>
  <c r="M108" s="1"/>
  <c r="T110"/>
  <c r="T114"/>
  <c r="T118"/>
  <c r="O129"/>
  <c r="O131" s="1"/>
  <c r="U22"/>
  <c r="U32"/>
  <c r="T34"/>
  <c r="U34" s="1"/>
  <c r="C48"/>
  <c r="I70"/>
  <c r="O70"/>
  <c r="O76" s="1"/>
  <c r="O137" s="1"/>
  <c r="M82"/>
  <c r="N91"/>
  <c r="M93"/>
  <c r="T95"/>
  <c r="M97"/>
  <c r="T99"/>
  <c r="G101"/>
  <c r="M101" s="1"/>
  <c r="T103"/>
  <c r="M105"/>
  <c r="T107"/>
  <c r="M109"/>
  <c r="T111"/>
  <c r="M113"/>
  <c r="T115"/>
  <c r="G117"/>
  <c r="M117" s="1"/>
  <c r="T119"/>
  <c r="M121"/>
  <c r="R68"/>
  <c r="M84"/>
  <c r="S27" i="4"/>
  <c r="J21"/>
  <c r="J19"/>
  <c r="J18"/>
  <c r="G19"/>
  <c r="G18"/>
  <c r="C17"/>
  <c r="D17"/>
  <c r="E17"/>
  <c r="G17"/>
  <c r="H17"/>
  <c r="I17"/>
  <c r="K17"/>
  <c r="L17"/>
  <c r="N17"/>
  <c r="O17"/>
  <c r="P17"/>
  <c r="Q17"/>
  <c r="R17"/>
  <c r="S17"/>
  <c r="F18"/>
  <c r="M18"/>
  <c r="T18"/>
  <c r="F19"/>
  <c r="M19"/>
  <c r="T19"/>
  <c r="U19" s="1"/>
  <c r="F20"/>
  <c r="M20"/>
  <c r="T20"/>
  <c r="F21"/>
  <c r="M21"/>
  <c r="T21"/>
  <c r="F22"/>
  <c r="M22"/>
  <c r="T22"/>
  <c r="F23"/>
  <c r="M23"/>
  <c r="T23"/>
  <c r="F24"/>
  <c r="M24"/>
  <c r="T24"/>
  <c r="F25"/>
  <c r="M25"/>
  <c r="T25"/>
  <c r="F26"/>
  <c r="M26"/>
  <c r="T26"/>
  <c r="C27"/>
  <c r="D27"/>
  <c r="E27"/>
  <c r="G27"/>
  <c r="H27"/>
  <c r="I27"/>
  <c r="J27"/>
  <c r="K27"/>
  <c r="L27"/>
  <c r="N27"/>
  <c r="O27"/>
  <c r="P27"/>
  <c r="Q27"/>
  <c r="R27"/>
  <c r="F28"/>
  <c r="M28"/>
  <c r="U18"/>
  <c r="U20"/>
  <c r="U21"/>
  <c r="U22"/>
  <c r="U23"/>
  <c r="U24"/>
  <c r="U25"/>
  <c r="U26"/>
  <c r="F29"/>
  <c r="U29" s="1"/>
  <c r="M29"/>
  <c r="T29"/>
  <c r="C30"/>
  <c r="D30"/>
  <c r="E30"/>
  <c r="G30"/>
  <c r="H30"/>
  <c r="I30"/>
  <c r="J30"/>
  <c r="K30"/>
  <c r="L30"/>
  <c r="N30"/>
  <c r="O30"/>
  <c r="P30"/>
  <c r="Q30"/>
  <c r="R30"/>
  <c r="S30"/>
  <c r="T30" s="1"/>
  <c r="F31"/>
  <c r="M31"/>
  <c r="T31"/>
  <c r="U31" s="1"/>
  <c r="F32"/>
  <c r="M32"/>
  <c r="T32"/>
  <c r="U32" s="1"/>
  <c r="F33"/>
  <c r="M33"/>
  <c r="T33"/>
  <c r="U33"/>
  <c r="C34"/>
  <c r="D34"/>
  <c r="E34"/>
  <c r="F34" s="1"/>
  <c r="G34"/>
  <c r="H34"/>
  <c r="I34"/>
  <c r="J34"/>
  <c r="K34"/>
  <c r="L34"/>
  <c r="M34"/>
  <c r="N34"/>
  <c r="O34"/>
  <c r="P34"/>
  <c r="Q34"/>
  <c r="R34"/>
  <c r="S34"/>
  <c r="F35"/>
  <c r="M35"/>
  <c r="T35"/>
  <c r="F36"/>
  <c r="M36"/>
  <c r="T36"/>
  <c r="F37"/>
  <c r="M37"/>
  <c r="T37"/>
  <c r="F38"/>
  <c r="M38"/>
  <c r="T38"/>
  <c r="F39"/>
  <c r="M39"/>
  <c r="T39"/>
  <c r="F40"/>
  <c r="M40"/>
  <c r="T40"/>
  <c r="F41"/>
  <c r="M41"/>
  <c r="T41"/>
  <c r="F42"/>
  <c r="U42" s="1"/>
  <c r="M42"/>
  <c r="T42"/>
  <c r="C43"/>
  <c r="D43"/>
  <c r="E43"/>
  <c r="G43"/>
  <c r="H43"/>
  <c r="I43"/>
  <c r="J43"/>
  <c r="K43"/>
  <c r="L43"/>
  <c r="M43"/>
  <c r="N43"/>
  <c r="O43"/>
  <c r="P43"/>
  <c r="Q43"/>
  <c r="R43"/>
  <c r="S43"/>
  <c r="T43" s="1"/>
  <c r="F44"/>
  <c r="M44"/>
  <c r="T44"/>
  <c r="U44"/>
  <c r="F45"/>
  <c r="M45"/>
  <c r="T45"/>
  <c r="U45"/>
  <c r="F46"/>
  <c r="M46"/>
  <c r="T46"/>
  <c r="U46"/>
  <c r="F47"/>
  <c r="M47"/>
  <c r="T47"/>
  <c r="U47"/>
  <c r="C48"/>
  <c r="D48"/>
  <c r="E48"/>
  <c r="G48"/>
  <c r="I48"/>
  <c r="K48"/>
  <c r="L48"/>
  <c r="N48"/>
  <c r="O48"/>
  <c r="P48"/>
  <c r="Q48"/>
  <c r="R48"/>
  <c r="F49"/>
  <c r="M49"/>
  <c r="T49"/>
  <c r="U49" s="1"/>
  <c r="S82" i="9" l="1"/>
  <c r="S70"/>
  <c r="T70" s="1"/>
  <c r="T67"/>
  <c r="R84"/>
  <c r="S69"/>
  <c r="W129"/>
  <c r="W137" s="1"/>
  <c r="AC59"/>
  <c r="AD59" s="1"/>
  <c r="R76"/>
  <c r="J137"/>
  <c r="R137" s="1"/>
  <c r="AD58"/>
  <c r="AD61" s="1"/>
  <c r="AC61"/>
  <c r="S68"/>
  <c r="R83"/>
  <c r="T91"/>
  <c r="N122"/>
  <c r="T122" s="1"/>
  <c r="F48"/>
  <c r="M91"/>
  <c r="G122"/>
  <c r="M122" s="1"/>
  <c r="I131"/>
  <c r="S128"/>
  <c r="R70"/>
  <c r="R82"/>
  <c r="C76"/>
  <c r="M48"/>
  <c r="J131"/>
  <c r="R128"/>
  <c r="R129"/>
  <c r="S129" s="1"/>
  <c r="S130"/>
  <c r="N131"/>
  <c r="D91"/>
  <c r="E108"/>
  <c r="E117"/>
  <c r="R130"/>
  <c r="D104"/>
  <c r="E101"/>
  <c r="D108"/>
  <c r="D117"/>
  <c r="E91"/>
  <c r="F43" i="4"/>
  <c r="F30"/>
  <c r="F17"/>
  <c r="F27"/>
  <c r="J17"/>
  <c r="J48" s="1"/>
  <c r="U43"/>
  <c r="U40"/>
  <c r="U38"/>
  <c r="U36"/>
  <c r="T34"/>
  <c r="U34" s="1"/>
  <c r="U41"/>
  <c r="U39"/>
  <c r="U37"/>
  <c r="U35"/>
  <c r="M30"/>
  <c r="U30" s="1"/>
  <c r="F48"/>
  <c r="H48"/>
  <c r="S48"/>
  <c r="T48" s="1"/>
  <c r="T27"/>
  <c r="T28"/>
  <c r="U28" s="1"/>
  <c r="M27"/>
  <c r="U27" s="1"/>
  <c r="T17"/>
  <c r="S131" i="9" l="1"/>
  <c r="W128"/>
  <c r="U137" s="1"/>
  <c r="V137" s="1"/>
  <c r="C121" s="1"/>
  <c r="F121" s="1"/>
  <c r="U121" s="1"/>
  <c r="S83"/>
  <c r="T68"/>
  <c r="C137"/>
  <c r="I137" s="1"/>
  <c r="Y137" s="1"/>
  <c r="I76"/>
  <c r="Y76" s="1"/>
  <c r="S84"/>
  <c r="T69"/>
  <c r="C92"/>
  <c r="C116"/>
  <c r="F116" s="1"/>
  <c r="U116" s="1"/>
  <c r="C106"/>
  <c r="F106" s="1"/>
  <c r="U106" s="1"/>
  <c r="C95"/>
  <c r="F95" s="1"/>
  <c r="U95" s="1"/>
  <c r="C93"/>
  <c r="F93" s="1"/>
  <c r="U93" s="1"/>
  <c r="C113"/>
  <c r="F113" s="1"/>
  <c r="U113" s="1"/>
  <c r="C107"/>
  <c r="F107" s="1"/>
  <c r="U107" s="1"/>
  <c r="E122"/>
  <c r="D122"/>
  <c r="R131"/>
  <c r="C100"/>
  <c r="F100" s="1"/>
  <c r="U100" s="1"/>
  <c r="U48"/>
  <c r="C114"/>
  <c r="F114" s="1"/>
  <c r="U114" s="1"/>
  <c r="C103"/>
  <c r="F103" s="1"/>
  <c r="U103" s="1"/>
  <c r="C120"/>
  <c r="F120" s="1"/>
  <c r="U120" s="1"/>
  <c r="C105"/>
  <c r="C99"/>
  <c r="F99" s="1"/>
  <c r="U99" s="1"/>
  <c r="C115"/>
  <c r="F115" s="1"/>
  <c r="U115" s="1"/>
  <c r="M17" i="4"/>
  <c r="M48"/>
  <c r="U48" s="1"/>
  <c r="U17"/>
  <c r="F92" i="9" l="1"/>
  <c r="U92" s="1"/>
  <c r="F105"/>
  <c r="U105" s="1"/>
  <c r="C104"/>
  <c r="F104" s="1"/>
  <c r="U104" s="1"/>
  <c r="C94"/>
  <c r="F94" s="1"/>
  <c r="U94" s="1"/>
  <c r="C119"/>
  <c r="F119" s="1"/>
  <c r="U119" s="1"/>
  <c r="C109"/>
  <c r="C102"/>
  <c r="C111"/>
  <c r="F111" s="1"/>
  <c r="U111" s="1"/>
  <c r="C97"/>
  <c r="F97" s="1"/>
  <c r="U97" s="1"/>
  <c r="C110"/>
  <c r="F110" s="1"/>
  <c r="U110" s="1"/>
  <c r="C96"/>
  <c r="F96" s="1"/>
  <c r="U96" s="1"/>
  <c r="C98"/>
  <c r="F98" s="1"/>
  <c r="U98" s="1"/>
  <c r="C118"/>
  <c r="C112"/>
  <c r="F112" s="1"/>
  <c r="U112" s="1"/>
  <c r="G115" i="1"/>
  <c r="H115"/>
  <c r="I115"/>
  <c r="J115"/>
  <c r="L107"/>
  <c r="M107"/>
  <c r="L91"/>
  <c r="M91"/>
  <c r="L87"/>
  <c r="M87"/>
  <c r="L81"/>
  <c r="M81"/>
  <c r="L66"/>
  <c r="M66"/>
  <c r="L53"/>
  <c r="M53"/>
  <c r="L41"/>
  <c r="M41"/>
  <c r="L29"/>
  <c r="M29"/>
  <c r="L25"/>
  <c r="M25"/>
  <c r="L14"/>
  <c r="L115" s="1"/>
  <c r="M14"/>
  <c r="M115" s="1"/>
  <c r="K107"/>
  <c r="K91"/>
  <c r="K87"/>
  <c r="K81"/>
  <c r="K66"/>
  <c r="K53"/>
  <c r="K41"/>
  <c r="K29"/>
  <c r="K25"/>
  <c r="K14"/>
  <c r="K115" s="1"/>
  <c r="E8" i="8"/>
  <c r="U2" i="4"/>
  <c r="H84" i="8"/>
  <c r="G84"/>
  <c r="F84"/>
  <c r="E84"/>
  <c r="D84"/>
  <c r="C84"/>
  <c r="H83"/>
  <c r="G83"/>
  <c r="F83"/>
  <c r="E83"/>
  <c r="D83"/>
  <c r="C83"/>
  <c r="H82"/>
  <c r="G82"/>
  <c r="F82"/>
  <c r="E82"/>
  <c r="D82"/>
  <c r="C82"/>
  <c r="X76"/>
  <c r="W76"/>
  <c r="U76"/>
  <c r="H70"/>
  <c r="G70"/>
  <c r="G76" s="1"/>
  <c r="I76" s="1"/>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S52"/>
  <c r="R52"/>
  <c r="Q52"/>
  <c r="P52"/>
  <c r="O52"/>
  <c r="N52"/>
  <c r="L52"/>
  <c r="K52"/>
  <c r="J52"/>
  <c r="I52"/>
  <c r="H52"/>
  <c r="G52"/>
  <c r="E52"/>
  <c r="D52"/>
  <c r="T51"/>
  <c r="M51"/>
  <c r="F51"/>
  <c r="T50"/>
  <c r="M50"/>
  <c r="F50"/>
  <c r="T49"/>
  <c r="M49"/>
  <c r="F49"/>
  <c r="T47"/>
  <c r="M47"/>
  <c r="F47"/>
  <c r="T46"/>
  <c r="M46"/>
  <c r="F46"/>
  <c r="T45"/>
  <c r="M45"/>
  <c r="F45"/>
  <c r="T44"/>
  <c r="M44"/>
  <c r="F44"/>
  <c r="L43"/>
  <c r="E43"/>
  <c r="D43"/>
  <c r="C43"/>
  <c r="M42"/>
  <c r="F42"/>
  <c r="M41"/>
  <c r="F41"/>
  <c r="M40"/>
  <c r="F40"/>
  <c r="M39"/>
  <c r="F39"/>
  <c r="M38"/>
  <c r="F38"/>
  <c r="M37"/>
  <c r="F37"/>
  <c r="M36"/>
  <c r="F36"/>
  <c r="M35"/>
  <c r="F35"/>
  <c r="L34"/>
  <c r="K34"/>
  <c r="J34"/>
  <c r="I34"/>
  <c r="H34"/>
  <c r="G34"/>
  <c r="E34"/>
  <c r="D34"/>
  <c r="C34"/>
  <c r="F33"/>
  <c r="U33" s="1"/>
  <c r="F32"/>
  <c r="U32" s="1"/>
  <c r="F31"/>
  <c r="U31" s="1"/>
  <c r="S30"/>
  <c r="R30"/>
  <c r="Q30"/>
  <c r="P30"/>
  <c r="O30"/>
  <c r="N30"/>
  <c r="L30"/>
  <c r="K30"/>
  <c r="J30"/>
  <c r="I30"/>
  <c r="H30"/>
  <c r="G30"/>
  <c r="E30"/>
  <c r="D30"/>
  <c r="C30"/>
  <c r="F29"/>
  <c r="F28"/>
  <c r="U28" s="1"/>
  <c r="S27"/>
  <c r="R27"/>
  <c r="Q27"/>
  <c r="P27"/>
  <c r="O27"/>
  <c r="N27"/>
  <c r="L27"/>
  <c r="K27"/>
  <c r="J27"/>
  <c r="I27"/>
  <c r="H27"/>
  <c r="G27"/>
  <c r="E27"/>
  <c r="D27"/>
  <c r="C27"/>
  <c r="F26"/>
  <c r="F25"/>
  <c r="F24"/>
  <c r="F23"/>
  <c r="F22"/>
  <c r="F21"/>
  <c r="F20"/>
  <c r="T19"/>
  <c r="F19"/>
  <c r="T18"/>
  <c r="M18"/>
  <c r="F18"/>
  <c r="S17"/>
  <c r="R17"/>
  <c r="Q17"/>
  <c r="P17"/>
  <c r="O17"/>
  <c r="N17"/>
  <c r="L17"/>
  <c r="K17"/>
  <c r="J17"/>
  <c r="J48" s="1"/>
  <c r="I17"/>
  <c r="H17"/>
  <c r="G17"/>
  <c r="E17"/>
  <c r="D17"/>
  <c r="C17"/>
  <c r="T50" i="4"/>
  <c r="T51"/>
  <c r="M51"/>
  <c r="M50"/>
  <c r="F51"/>
  <c r="F50"/>
  <c r="J2" i="8"/>
  <c r="M7" i="3"/>
  <c r="G2" i="6"/>
  <c r="A6" i="2"/>
  <c r="A37" s="1"/>
  <c r="K7" i="3" s="1"/>
  <c r="E4" i="6"/>
  <c r="F4"/>
  <c r="G4"/>
  <c r="H4"/>
  <c r="I4"/>
  <c r="J4"/>
  <c r="K4"/>
  <c r="L4"/>
  <c r="M4"/>
  <c r="N4"/>
  <c r="D4"/>
  <c r="I82" i="8" l="1"/>
  <c r="G48"/>
  <c r="F118" i="9"/>
  <c r="U118" s="1"/>
  <c r="C117"/>
  <c r="F117" s="1"/>
  <c r="U117" s="1"/>
  <c r="F109"/>
  <c r="U109" s="1"/>
  <c r="C108"/>
  <c r="F108" s="1"/>
  <c r="U108" s="1"/>
  <c r="F102"/>
  <c r="U102" s="1"/>
  <c r="C101"/>
  <c r="F101" s="1"/>
  <c r="U101" s="1"/>
  <c r="C91"/>
  <c r="A88" i="2"/>
  <c r="A86"/>
  <c r="A89"/>
  <c r="A87"/>
  <c r="U25" i="8"/>
  <c r="U36"/>
  <c r="S48"/>
  <c r="U19"/>
  <c r="U50"/>
  <c r="U51" i="4"/>
  <c r="T52" i="8"/>
  <c r="U21"/>
  <c r="U50" i="4"/>
  <c r="U23" i="8"/>
  <c r="U47"/>
  <c r="S58"/>
  <c r="U42"/>
  <c r="K48"/>
  <c r="U45"/>
  <c r="E48"/>
  <c r="E120" s="1"/>
  <c r="A39" i="2"/>
  <c r="F27" i="8"/>
  <c r="V61"/>
  <c r="F52"/>
  <c r="U24"/>
  <c r="U26"/>
  <c r="T27"/>
  <c r="T30"/>
  <c r="U40"/>
  <c r="M17"/>
  <c r="N48"/>
  <c r="R48"/>
  <c r="I48"/>
  <c r="E137" s="1"/>
  <c r="U39"/>
  <c r="U41"/>
  <c r="S60"/>
  <c r="W130" s="1"/>
  <c r="X137" s="1"/>
  <c r="O70"/>
  <c r="O76" s="1"/>
  <c r="M27"/>
  <c r="U38"/>
  <c r="U44"/>
  <c r="U46"/>
  <c r="U18"/>
  <c r="F30"/>
  <c r="F34"/>
  <c r="Q48"/>
  <c r="O48"/>
  <c r="U49"/>
  <c r="R61"/>
  <c r="L70"/>
  <c r="L82"/>
  <c r="V76"/>
  <c r="AB58"/>
  <c r="AB61" s="1"/>
  <c r="AA61"/>
  <c r="M34"/>
  <c r="M30"/>
  <c r="H48"/>
  <c r="U22"/>
  <c r="M43"/>
  <c r="P70"/>
  <c r="P76" s="1"/>
  <c r="P82"/>
  <c r="K83"/>
  <c r="O83"/>
  <c r="J82"/>
  <c r="J70"/>
  <c r="N82"/>
  <c r="N70"/>
  <c r="I83"/>
  <c r="I70"/>
  <c r="M83"/>
  <c r="M70"/>
  <c r="Q70"/>
  <c r="Q76" s="1"/>
  <c r="J84"/>
  <c r="N84"/>
  <c r="D48"/>
  <c r="T43"/>
  <c r="F17"/>
  <c r="L48"/>
  <c r="H76" s="1"/>
  <c r="P48"/>
  <c r="U37"/>
  <c r="M52"/>
  <c r="I61"/>
  <c r="R67"/>
  <c r="S67" s="1"/>
  <c r="U20"/>
  <c r="T34"/>
  <c r="U35"/>
  <c r="F43"/>
  <c r="C48"/>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C122" i="9" l="1"/>
  <c r="F122" s="1"/>
  <c r="U122" s="1"/>
  <c r="F91"/>
  <c r="U91" s="1"/>
  <c r="M48" i="8"/>
  <c r="S6"/>
  <c r="P5" i="3"/>
  <c r="K76" i="8"/>
  <c r="E110"/>
  <c r="E95"/>
  <c r="E114"/>
  <c r="E105"/>
  <c r="E99"/>
  <c r="E119"/>
  <c r="U17"/>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F48"/>
  <c r="D121"/>
  <c r="D120"/>
  <c r="D119"/>
  <c r="D118"/>
  <c r="D116"/>
  <c r="D115"/>
  <c r="D114"/>
  <c r="D113"/>
  <c r="D112"/>
  <c r="D111"/>
  <c r="D110"/>
  <c r="D109"/>
  <c r="D107"/>
  <c r="D106"/>
  <c r="D105"/>
  <c r="D103"/>
  <c r="D102"/>
  <c r="D100"/>
  <c r="D99"/>
  <c r="D98"/>
  <c r="D97"/>
  <c r="D96"/>
  <c r="D95"/>
  <c r="D94"/>
  <c r="D93"/>
  <c r="D92"/>
  <c r="R82"/>
  <c r="R70"/>
  <c r="T48"/>
  <c r="S78" i="4"/>
  <c r="B7"/>
  <c r="B12"/>
  <c r="AA60"/>
  <c r="AA59"/>
  <c r="X76"/>
  <c r="W76"/>
  <c r="AD58" i="8" l="1"/>
  <c r="AD61" s="1"/>
  <c r="E104"/>
  <c r="E108"/>
  <c r="E91"/>
  <c r="E117"/>
  <c r="R76"/>
  <c r="Y76" s="1"/>
  <c r="D108"/>
  <c r="D117"/>
  <c r="T68"/>
  <c r="S83"/>
  <c r="T69"/>
  <c r="S84"/>
  <c r="D101"/>
  <c r="AC61"/>
  <c r="D104"/>
  <c r="D91"/>
  <c r="U48"/>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D52" l="1"/>
  <c r="E52"/>
  <c r="K52"/>
  <c r="L52"/>
  <c r="O52"/>
  <c r="P52"/>
  <c r="S52"/>
  <c r="K67"/>
  <c r="L67"/>
  <c r="M67"/>
  <c r="N67"/>
  <c r="O67"/>
  <c r="P67"/>
  <c r="Q67"/>
  <c r="K68"/>
  <c r="L68"/>
  <c r="M68"/>
  <c r="N68"/>
  <c r="O68"/>
  <c r="P68"/>
  <c r="Q68"/>
  <c r="K69"/>
  <c r="L69"/>
  <c r="M69"/>
  <c r="N69"/>
  <c r="O69"/>
  <c r="P69"/>
  <c r="Q69"/>
  <c r="J68"/>
  <c r="J69"/>
  <c r="J67"/>
  <c r="R52" l="1"/>
  <c r="F6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0"/>
  <c r="G96"/>
  <c r="G109"/>
  <c r="G103"/>
  <c r="G121"/>
  <c r="G116"/>
  <c r="G112"/>
  <c r="G97"/>
  <c r="C129"/>
  <c r="G118"/>
  <c r="G113"/>
  <c r="G114"/>
  <c r="G99"/>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97"/>
  <c r="F129"/>
  <c r="F128"/>
  <c r="J118"/>
  <c r="J113"/>
  <c r="J109"/>
  <c r="J103"/>
  <c r="J101" s="1"/>
  <c r="J98"/>
  <c r="J94"/>
  <c r="J119"/>
  <c r="J114"/>
  <c r="J110"/>
  <c r="F130"/>
  <c r="J115"/>
  <c r="J99"/>
  <c r="J120"/>
  <c r="J100"/>
  <c r="J96"/>
  <c r="J111"/>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12" l="1"/>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8" s="1"/>
  <c r="C106"/>
  <c r="C91"/>
  <c r="C117"/>
  <c r="C101"/>
  <c r="J104"/>
  <c r="C104"/>
  <c r="J97"/>
  <c r="S131" i="8"/>
  <c r="M122"/>
  <c r="T122"/>
  <c r="S131" i="4"/>
  <c r="T92"/>
  <c r="Q117"/>
  <c r="M92"/>
  <c r="Q108"/>
  <c r="T120"/>
  <c r="M93"/>
  <c r="T121"/>
  <c r="T95"/>
  <c r="T93"/>
  <c r="M120"/>
  <c r="M121"/>
  <c r="C115" i="8" l="1"/>
  <c r="C112"/>
  <c r="C95"/>
  <c r="F95" s="1"/>
  <c r="U95" s="1"/>
  <c r="C102"/>
  <c r="C107"/>
  <c r="C116"/>
  <c r="F116" s="1"/>
  <c r="U116" s="1"/>
  <c r="C93"/>
  <c r="C106"/>
  <c r="C110"/>
  <c r="C92"/>
  <c r="C100"/>
  <c r="C109"/>
  <c r="C114"/>
  <c r="C111"/>
  <c r="F111" s="1"/>
  <c r="U111" s="1"/>
  <c r="C105"/>
  <c r="C113"/>
  <c r="F113" s="1"/>
  <c r="U113" s="1"/>
  <c r="C94"/>
  <c r="C121"/>
  <c r="F121" s="1"/>
  <c r="U121" s="1"/>
  <c r="F93"/>
  <c r="U93" s="1"/>
  <c r="F107"/>
  <c r="U107" s="1"/>
  <c r="C119"/>
  <c r="F119" s="1"/>
  <c r="U119" s="1"/>
  <c r="C101"/>
  <c r="F101" s="1"/>
  <c r="U101" s="1"/>
  <c r="F106"/>
  <c r="U106" s="1"/>
  <c r="F114"/>
  <c r="U114" s="1"/>
  <c r="F92"/>
  <c r="U92" s="1"/>
  <c r="C99"/>
  <c r="F99" s="1"/>
  <c r="U99" s="1"/>
  <c r="F100"/>
  <c r="U100" s="1"/>
  <c r="C120"/>
  <c r="F120" s="1"/>
  <c r="U120" s="1"/>
  <c r="F110"/>
  <c r="U110" s="1"/>
  <c r="C98"/>
  <c r="F98" s="1"/>
  <c r="U98" s="1"/>
  <c r="F112"/>
  <c r="U112" s="1"/>
  <c r="C96"/>
  <c r="F96" s="1"/>
  <c r="U96" s="1"/>
  <c r="F115"/>
  <c r="U115" s="1"/>
  <c r="C97"/>
  <c r="F97" s="1"/>
  <c r="U97" s="1"/>
  <c r="F109"/>
  <c r="U109" s="1"/>
  <c r="F94"/>
  <c r="U94" s="1"/>
  <c r="C103"/>
  <c r="F103" s="1"/>
  <c r="U103" s="1"/>
  <c r="C118"/>
  <c r="F105"/>
  <c r="U105" s="1"/>
  <c r="C122" i="4"/>
  <c r="J52"/>
  <c r="J119"/>
  <c r="J117" s="1"/>
  <c r="T96"/>
  <c r="L117"/>
  <c r="S91"/>
  <c r="S122" s="1"/>
  <c r="J91"/>
  <c r="M95"/>
  <c r="H91"/>
  <c r="M96"/>
  <c r="Q91"/>
  <c r="Q122" s="1"/>
  <c r="L91"/>
  <c r="R91"/>
  <c r="I91"/>
  <c r="R117"/>
  <c r="M94"/>
  <c r="K91"/>
  <c r="K122" s="1"/>
  <c r="T94"/>
  <c r="C108" i="8" l="1"/>
  <c r="C117"/>
  <c r="F117" s="1"/>
  <c r="U117" s="1"/>
  <c r="F102"/>
  <c r="U102" s="1"/>
  <c r="C104"/>
  <c r="F104" s="1"/>
  <c r="U104" s="1"/>
  <c r="F118"/>
  <c r="U118" s="1"/>
  <c r="F108"/>
  <c r="U108" s="1"/>
  <c r="C91"/>
  <c r="F91" s="1"/>
  <c r="U91" s="1"/>
  <c r="J122" i="4"/>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8" i="1"/>
  <c r="B80"/>
  <c r="B86"/>
  <c r="B88"/>
  <c r="B90"/>
  <c r="B91"/>
  <c r="B22" i="3"/>
  <c r="C118" i="1"/>
  <c r="B117"/>
  <c r="B115"/>
  <c r="B65"/>
  <c r="B66"/>
  <c r="B67"/>
  <c r="B68"/>
  <c r="B69"/>
  <c r="B70"/>
  <c r="B71"/>
  <c r="B72"/>
  <c r="B73"/>
  <c r="B74"/>
  <c r="B75"/>
  <c r="B76"/>
  <c r="B77"/>
  <c r="B87"/>
  <c r="G122" i="4" l="1"/>
  <c r="T97"/>
  <c r="U97" s="1"/>
  <c r="N91"/>
  <c r="T91" s="1"/>
  <c r="U91" s="1"/>
  <c r="T101"/>
  <c r="G52"/>
  <c r="U101"/>
  <c r="N119"/>
  <c r="T119" s="1"/>
  <c r="N104"/>
  <c r="T104" s="1"/>
  <c r="U104" s="1"/>
  <c r="T105"/>
  <c r="U105" s="1"/>
  <c r="R137"/>
  <c r="I137"/>
  <c r="R76"/>
  <c r="I76"/>
  <c r="B122"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<sst xmlns="http://schemas.openxmlformats.org/spreadsheetml/2006/main" count="1446" uniqueCount="1118">
  <si>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</si>
  <si>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</si>
  <si>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</si>
  <si>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</si>
  <si>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</si>
  <si>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</si>
  <si>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</si>
  <si>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</si>
  <si>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</si>
  <si>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</si>
  <si>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</si>
  <si>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</si>
  <si>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</si>
  <si>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</si>
  <si>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</si>
  <si>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</si>
  <si>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</si>
  <si>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</si>
  <si>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</si>
  <si>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</si>
  <si>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</si>
  <si>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</si>
  <si>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</si>
  <si>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</si>
  <si>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</si>
  <si>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</si>
  <si>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</si>
  <si>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</si>
  <si>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</si>
  <si>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</si>
  <si>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</si>
  <si>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</si>
  <si>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</si>
  <si>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</si>
  <si>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</si>
  <si>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</si>
  <si>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</si>
  <si>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</si>
  <si>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</si>
  <si>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</si>
  <si>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</si>
  <si>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</si>
  <si>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</si>
  <si>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</si>
  <si>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</si>
  <si>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</si>
  <si>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</si>
  <si>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</si>
  <si>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</si>
  <si>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</si>
  <si>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</si>
  <si>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</si>
  <si>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</si>
  <si>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</si>
  <si>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</si>
  <si>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</si>
  <si>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</si>
  <si>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</si>
  <si>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</si>
  <si>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</si>
  <si>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</si>
  <si>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</si>
  <si>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</si>
  <si>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</si>
  <si>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</si>
  <si>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</si>
  <si>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</si>
  <si>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</si>
  <si>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</si>
  <si>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</si>
  <si>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</si>
  <si>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</si>
  <si>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</si>
  <si>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</si>
  <si>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</si>
  <si>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</si>
  <si>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</si>
  <si>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</si>
  <si>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</si>
  <si>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</si>
  <si>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</si>
  <si>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</si>
  <si>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</si>
  <si>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</si>
  <si>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</si>
  <si>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</si>
  <si>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</si>
  <si>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</si>
  <si>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</si>
  <si>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</si>
  <si>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</si>
  <si>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</si>
  <si>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</si>
  <si>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</si>
  <si>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</si>
  <si>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</si>
  <si>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</si>
  <si>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</si>
  <si>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</si>
  <si>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</si>
  <si>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</si>
  <si>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</si>
  <si>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</si>
  <si>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</si>
  <si>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</si>
  <si>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</si>
  <si>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</si>
  <si>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</si>
  <si>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</si>
  <si>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</si>
  <si>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</si>
  <si>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</si>
  <si>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</si>
  <si>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</si>
  <si>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</si>
  <si>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</si>
  <si>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</si>
  <si>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</si>
  <si>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</si>
  <si>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</si>
  <si>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</si>
  <si>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</si>
  <si>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</si>
  <si>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</si>
  <si>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</si>
  <si>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</si>
  <si>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</si>
  <si>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</si>
  <si>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</si>
  <si>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</si>
  <si>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</si>
  <si>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</si>
  <si>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</si>
  <si>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</si>
  <si>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</si>
  <si>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</si>
  <si>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</si>
  <si>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</si>
  <si>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</si>
  <si>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</si>
  <si>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</si>
  <si>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</si>
  <si>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</si>
  <si>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</si>
  <si>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</si>
  <si>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</si>
  <si>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</si>
  <si>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</si>
  <si>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</si>
  <si>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</si>
  <si>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</si>
  <si>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</si>
  <si>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</si>
  <si>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</si>
  <si>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</si>
  <si>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</si>
  <si>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</si>
  <si>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</si>
  <si>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</si>
  <si>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</si>
  <si>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</si>
  <si>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</si>
  <si>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</si>
  <si>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</si>
  <si>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</si>
  <si>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</si>
  <si>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</si>
  <si>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</si>
  <si>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</si>
  <si>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</si>
  <si>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</si>
  <si>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</si>
  <si>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</si>
  <si>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</si>
  <si>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</si>
  <si>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</si>
  <si>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</si>
  <si>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</si>
  <si>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</si>
  <si>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</si>
  <si>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</si>
  <si>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</si>
  <si>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</si>
  <si>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</si>
  <si>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</si>
  <si>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</si>
  <si>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</si>
  <si>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</si>
  <si>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</si>
  <si>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</si>
  <si>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</si>
  <si>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</si>
  <si>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</si>
  <si>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</si>
  <si>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</si>
  <si>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</si>
  <si>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</si>
  <si>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</si>
  <si>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</si>
  <si>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</si>
  <si>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</si>
  <si>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</si>
  <si>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</si>
  <si>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</si>
  <si>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</si>
  <si>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</si>
  <si>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</si>
  <si>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</si>
  <si>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</si>
  <si>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</si>
  <si>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</si>
  <si>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</si>
  <si>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</si>
  <si>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</si>
  <si>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</si>
  <si>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</si>
  <si>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</si>
  <si>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</si>
  <si>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</si>
  <si>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</si>
  <si>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</si>
  <si>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</si>
  <si>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</si>
  <si>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</si>
  <si>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</si>
  <si>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</si>
  <si>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</si>
  <si>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</si>
  <si>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</si>
  <si>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</si>
  <si>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</si>
  <si>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</si>
  <si>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</si>
  <si>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</si>
  <si>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</si>
  <si>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</si>
  <si>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</si>
  <si>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</si>
  <si>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</si>
  <si>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</si>
  <si>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</si>
  <si>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</si>
  <si>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</si>
  <si>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</si>
  <si>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</si>
  <si>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</si>
  <si>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</si>
  <si>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</si>
  <si>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</si>
  <si>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</si>
  <si>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</si>
  <si>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</si>
  <si>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</si>
  <si>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</si>
  <si>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</si>
  <si>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</si>
  <si>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</si>
  <si>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</si>
  <si>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</si>
  <si>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</si>
  <si>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</si>
  <si>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</si>
  <si>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</si>
  <si>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</si>
  <si>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</si>
  <si>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</si>
  <si>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</si>
  <si>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</si>
  <si>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</si>
  <si>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</si>
  <si>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</si>
  <si>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</si>
  <si>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</si>
  <si>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</si>
  <si>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</si>
  <si>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</si>
  <si>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</si>
  <si>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</si>
  <si>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</si>
  <si>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</si>
  <si>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</si>
  <si>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</si>
  <si>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</si>
  <si>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</si>
  <si>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</si>
  <si>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</si>
  <si>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</si>
  <si>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</si>
  <si>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</si>
  <si>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</si>
  <si>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</si>
  <si>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</si>
  <si>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</si>
  <si>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</si>
  <si>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</si>
  <si>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</si>
  <si>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</si>
  <si>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</si>
  <si>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</si>
  <si>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</si>
  <si>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</si>
  <si>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</si>
  <si>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</si>
  <si>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</si>
  <si>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</si>
  <si>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</si>
  <si>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</si>
  <si>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</si>
  <si>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</si>
  <si>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</si>
  <si>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</si>
  <si>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</si>
  <si>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</si>
  <si>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</si>
  <si>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</si>
  <si>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</si>
  <si>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</si>
  <si>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</si>
  <si>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</si>
  <si>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</si>
  <si>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</si>
  <si>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</si>
  <si>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</si>
  <si>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</si>
  <si>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</si>
  <si>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</si>
  <si>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</si>
  <si>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</si>
  <si>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</si>
  <si>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</si>
  <si>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</si>
  <si>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</si>
  <si>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</si>
  <si>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</si>
  <si>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</si>
  <si>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</si>
  <si>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</si>
  <si>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</si>
  <si>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</si>
  <si>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</si>
  <si>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</si>
  <si>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</si>
  <si>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</si>
  <si>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</si>
  <si>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</si>
  <si>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</si>
  <si>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</si>
  <si>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</si>
  <si>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</si>
  <si>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</si>
  <si>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</si>
  <si>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</si>
  <si>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</si>
  <si>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</si>
  <si>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</si>
  <si>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</si>
  <si>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</si>
  <si>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</si>
  <si>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</si>
  <si>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</si>
  <si>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</si>
  <si>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</si>
  <si>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</si>
  <si>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</si>
  <si>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</si>
  <si>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</si>
  <si>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</si>
  <si>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</si>
  <si>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</si>
  <si>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</si>
  <si>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</si>
  <si>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</si>
  <si>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</si>
  <si>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</si>
  <si>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</si>
  <si>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</si>
  <si>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</si>
  <si>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</si>
  <si>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</si>
  <si>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</si>
  <si>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</si>
  <si>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</si>
  <si>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</si>
  <si>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</si>
  <si>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</si>
  <si>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</si>
  <si>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</si>
  <si>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</si>
  <si>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</si>
  <si>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</si>
  <si>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</si>
  <si>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</si>
  <si>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</si>
  <si>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</si>
  <si>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</si>
  <si>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</si>
  <si>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</si>
  <si>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</si>
  <si>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</si>
  <si>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</si>
  <si>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</si>
  <si>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</si>
  <si>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</si>
  <si>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</si>
  <si>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</si>
  <si>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</si>
  <si>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</si>
  <si>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</si>
  <si>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</si>
  <si>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</si>
  <si>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</si>
  <si>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</si>
  <si>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</si>
  <si>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</si>
  <si>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</si>
  <si>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</si>
  <si>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</si>
  <si>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</si>
  <si>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</si>
  <si>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</si>
  <si>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</si>
  <si>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</si>
  <si>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</si>
  <si>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</si>
  <si>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</si>
  <si>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</si>
  <si>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</si>
  <si>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</si>
  <si>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</si>
  <si>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</si>
  <si>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</si>
  <si>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</si>
  <si>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</si>
  <si>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</si>
  <si>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</si>
  <si>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</si>
  <si>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</si>
  <si>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</si>
  <si>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</si>
  <si>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</si>
  <si>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</si>
  <si>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</si>
  <si>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</si>
  <si>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</si>
  <si>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</si>
  <si>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</si>
  <si>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</si>
  <si>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</si>
  <si>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</si>
  <si>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</si>
  <si>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</si>
  <si>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</si>
  <si>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</si>
  <si>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</si>
  <si>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</si>
  <si>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</si>
  <si>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</si>
  <si>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</si>
  <si>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</si>
  <si>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</si>
  <si>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</si>
  <si>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</si>
  <si>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</si>
  <si>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</si>
  <si>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</si>
  <si>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</si>
  <si>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</si>
  <si>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</si>
  <si>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</si>
  <si>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</si>
  <si>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</si>
  <si>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</si>
  <si>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</si>
  <si>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</si>
  <si>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</si>
  <si>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</si>
  <si>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</si>
  <si>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</si>
  <si>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</si>
  <si>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</si>
  <si>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</si>
  <si>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</si>
  <si>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</si>
  <si>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</si>
  <si>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</si>
  <si>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</si>
  <si>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</si>
  <si>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</si>
  <si>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</si>
  <si>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</si>
  <si>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</si>
  <si>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</si>
  <si>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</si>
  <si>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</si>
  <si>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</si>
  <si>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</si>
  <si>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</si>
  <si>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</si>
  <si>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</si>
  <si>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</si>
  <si>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</si>
  <si>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</si>
  <si>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</si>
  <si>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</si>
  <si>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</si>
  <si>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</si>
  <si>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</si>
  <si>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</si>
  <si>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</si>
  <si>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</si>
  <si>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</si>
  <si>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</si>
  <si>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</si>
  <si>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</si>
  <si>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</si>
  <si>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</si>
  <si>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</si>
  <si>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</si>
  <si>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</si>
  <si>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</si>
  <si>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</si>
  <si>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</si>
  <si>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</si>
  <si>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</si>
  <si>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</si>
  <si>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</si>
  <si>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</si>
  <si>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</si>
  <si>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</si>
  <si>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</si>
  <si>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</si>
  <si>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</si>
  <si>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</si>
  <si>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</si>
  <si>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</si>
  <si>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</si>
  <si>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</si>
  <si>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</si>
  <si>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</si>
  <si>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</si>
  <si>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</si>
  <si>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</si>
  <si>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</si>
  <si>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</si>
  <si>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</si>
  <si>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</si>
  <si>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</si>
  <si>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</si>
  <si>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</si>
  <si>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</si>
  <si>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</si>
  <si>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</si>
  <si>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</si>
  <si>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</si>
  <si>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</si>
  <si>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</si>
  <si>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</si>
  <si>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</si>
  <si>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</si>
  <si>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</si>
  <si>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</si>
  <si>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</si>
  <si>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</si>
  <si>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</si>
  <si>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</si>
  <si>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</si>
  <si>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</si>
  <si>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</si>
  <si>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</si>
  <si>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</si>
  <si>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</si>
  <si>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</si>
  <si>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</si>
  <si>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</si>
  <si>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</si>
  <si>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</si>
  <si>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</si>
  <si>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</si>
  <si>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</si>
  <si>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</si>
  <si>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</si>
  <si>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</si>
  <si>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</si>
  <si>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</si>
  <si>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</si>
  <si>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</si>
  <si>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</si>
  <si>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</si>
  <si>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</si>
  <si>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</si>
  <si>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</si>
  <si>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</si>
  <si>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</si>
  <si>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</si>
  <si>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</si>
  <si>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</si>
  <si>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</si>
  <si>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</si>
  <si>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</si>
  <si>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</si>
  <si>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</si>
  <si>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</si>
  <si>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</si>
  <si>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</si>
  <si>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</si>
  <si>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</si>
  <si>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</si>
  <si>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</si>
  <si>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</si>
  <si>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</si>
  <si>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</si>
  <si>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</si>
  <si>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</si>
  <si>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</si>
  <si>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</si>
  <si>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</si>
  <si>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</si>
  <si>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</si>
  <si>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</si>
  <si>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</si>
  <si>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</si>
  <si>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</si>
  <si>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</si>
  <si>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</si>
  <si>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</si>
  <si>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</si>
  <si>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</si>
  <si>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</si>
  <si>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</si>
  <si>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</si>
  <si>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</si>
  <si>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</si>
  <si>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</si>
  <si>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</si>
  <si>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</si>
  <si>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</si>
  <si>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</si>
  <si>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</si>
  <si>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</si>
  <si>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</si>
  <si>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</si>
  <si>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</si>
  <si>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</si>
  <si>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</si>
  <si>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</si>
  <si>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</si>
  <si>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</si>
  <si>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</si>
  <si>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</si>
  <si>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</si>
  <si>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</si>
  <si>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</si>
  <si>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</si>
  <si>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</si>
  <si>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</si>
  <si>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</si>
  <si>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</si>
  <si>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</si>
  <si>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</si>
  <si>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</si>
  <si>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</si>
  <si>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</si>
  <si>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</si>
  <si>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</si>
  <si>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</si>
  <si>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</si>
  <si>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</si>
  <si>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</si>
  <si>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</si>
  <si>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</si>
  <si>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</si>
  <si>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</si>
  <si>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</si>
  <si>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</si>
  <si>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</si>
  <si>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</si>
  <si>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</si>
  <si>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</si>
  <si>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</si>
  <si>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</si>
  <si>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</si>
  <si>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</si>
  <si>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</si>
  <si>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</si>
  <si>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</si>
  <si>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</si>
  <si>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</si>
  <si>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</si>
  <si>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</si>
  <si>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</si>
  <si>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</si>
  <si>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</si>
  <si>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</si>
  <si>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</si>
  <si>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</si>
  <si>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</si>
  <si>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</si>
  <si>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</si>
  <si>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</si>
  <si>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</si>
  <si>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</si>
  <si>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</si>
  <si>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</si>
  <si>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</si>
  <si>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</si>
  <si>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</si>
  <si>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</si>
  <si>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</si>
  <si>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</si>
  <si>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</si>
  <si>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</si>
  <si>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</si>
  <si>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</si>
  <si>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</si>
  <si>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</si>
  <si>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</si>
  <si>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</si>
  <si>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</si>
  <si>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</si>
  <si>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</si>
  <si>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</si>
  <si>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</si>
  <si>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</si>
  <si>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</si>
  <si>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</si>
  <si>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</si>
  <si>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</si>
  <si>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</si>
  <si>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</si>
  <si>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</si>
  <si>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</si>
  <si>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</si>
  <si>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</si>
  <si>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</si>
  <si>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</si>
  <si>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</si>
  <si>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</si>
  <si>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</si>
  <si>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</si>
  <si>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</si>
  <si>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</si>
  <si>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</si>
  <si>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</si>
  <si>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</si>
  <si>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</si>
  <si>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</si>
  <si>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</si>
  <si>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</si>
  <si>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</si>
  <si>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</si>
  <si>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</si>
  <si>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</si>
  <si>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</si>
  <si>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</si>
  <si>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</si>
  <si>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</si>
  <si>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</si>
  <si>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</si>
  <si>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</si>
  <si>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</si>
  <si>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</si>
  <si>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</si>
  <si>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</si>
  <si>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</si>
  <si>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</si>
  <si>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</si>
  <si>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</si>
  <si>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</si>
  <si>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</si>
  <si>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</si>
  <si>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</si>
  <si>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</si>
  <si>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</si>
  <si>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</si>
  <si>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</si>
  <si>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</si>
  <si>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</si>
  <si>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</si>
  <si>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</si>
  <si>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</si>
  <si>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</si>
  <si>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</si>
  <si>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</si>
  <si>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</si>
  <si>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</si>
  <si>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</si>
  <si>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</si>
  <si>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</si>
  <si>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</si>
  <si>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</si>
  <si>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</si>
  <si>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</si>
  <si>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</si>
  <si>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</si>
  <si>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</si>
  <si>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</si>
  <si>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</si>
  <si>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</si>
  <si>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</si>
  <si>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</si>
  <si>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</si>
  <si>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</si>
  <si>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</si>
  <si>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</si>
  <si>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</si>
  <si>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</si>
  <si>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</si>
  <si>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</si>
  <si>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</si>
  <si>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</si>
  <si>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</si>
  <si>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</si>
  <si>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</si>
  <si>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</si>
  <si>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</si>
  <si>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</si>
  <si>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</si>
  <si>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</si>
  <si>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</si>
  <si>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</si>
  <si>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</si>
  <si>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</si>
  <si>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</si>
  <si>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</si>
  <si>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</si>
  <si>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</si>
  <si>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</si>
  <si>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</si>
  <si>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</si>
  <si>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</si>
  <si>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</si>
  <si>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</si>
  <si>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</si>
  <si>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</si>
  <si>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</si>
  <si>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</si>
  <si>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</si>
  <si>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</si>
  <si>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</si>
  <si>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</si>
  <si>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</si>
  <si>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</si>
  <si>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</si>
  <si>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</si>
  <si>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</si>
  <si>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</si>
  <si>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</si>
  <si>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</si>
  <si>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</si>
  <si>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</si>
  <si>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</si>
  <si>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</si>
  <si>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</si>
  <si>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</si>
  <si>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</si>
  <si>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</si>
  <si>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</si>
  <si>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</si>
  <si>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</si>
  <si>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</si>
  <si>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</si>
  <si>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</si>
  <si>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</si>
  <si>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</si>
  <si>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</si>
  <si>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</si>
  <si>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</si>
  <si>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</si>
  <si>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</si>
  <si>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</si>
  <si>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</si>
  <si>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</si>
  <si>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</si>
  <si>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</si>
  <si>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</si>
  <si>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</si>
  <si>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</si>
  <si>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</si>
  <si>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</si>
  <si>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</si>
  <si>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</si>
  <si>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</si>
  <si>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</si>
  <si>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</si>
  <si>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</si>
  <si>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</si>
  <si>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</si>
  <si>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</si>
  <si>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</si>
  <si>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</si>
  <si>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</si>
  <si>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</si>
  <si>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</si>
  <si>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</si>
  <si>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</si>
  <si>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</si>
  <si>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</si>
  <si>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</si>
  <si>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</si>
  <si>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</si>
  <si>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</si>
  <si>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</si>
  <si>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</si>
  <si>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</si>
  <si>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</si>
  <si>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</si>
  <si>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</si>
  <si>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</si>
  <si>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</si>
  <si>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</si>
  <si>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</si>
  <si>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</si>
  <si>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</si>
  <si>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</si>
  <si>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</si>
  <si>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</si>
  <si>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</si>
  <si>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</si>
  <si>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</si>
  <si>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</si>
  <si>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</si>
  <si>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</si>
  <si>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</si>
  <si>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</si>
  <si>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</si>
  <si>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</si>
  <si>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</si>
  <si>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</si>
  <si>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</si>
  <si>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</si>
  <si>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</si>
  <si>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</si>
  <si>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</si>
  <si>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</si>
  <si>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</si>
  <si>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</si>
  <si>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</si>
  <si>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</si>
  <si>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</si>
  <si>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</si>
  <si>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</si>
  <si>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</si>
  <si>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</si>
  <si>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</si>
  <si>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</si>
  <si>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</si>
  <si>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</si>
  <si>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</si>
  <si>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</si>
  <si>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</si>
  <si>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</si>
  <si>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</si>
  <si>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</si>
  <si>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</si>
  <si>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</si>
  <si>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</si>
  <si>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</si>
  <si>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</si>
  <si>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</si>
  <si>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</si>
  <si>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</si>
  <si>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</si>
  <si>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</si>
  <si>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</si>
  <si>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</si>
  <si>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</si>
  <si>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</si>
  <si>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</si>
  <si>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</si>
  <si>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</si>
  <si>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</si>
  <si>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</si>
  <si>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</si>
  <si>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</si>
  <si>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</si>
  <si>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</si>
  <si>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</si>
  <si>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</si>
  <si>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</si>
  <si>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</si>
  <si>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</si>
  <si>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</si>
  <si>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</si>
  <si>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</si>
  <si>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</si>
  <si>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</si>
  <si>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</si>
  <si>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</si>
  <si>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</si>
  <si>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</si>
  <si>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</si>
  <si>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</si>
  <si>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</si>
  <si>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</si>
  <si>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</si>
  <si>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</si>
  <si>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</si>
  <si>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</si>
  <si>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</si>
  <si>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</si>
  <si>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</si>
  <si>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</si>
  <si>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</si>
  <si>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</si>
  <si>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</si>
  <si>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</si>
  <si>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</si>
  <si>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</si>
  <si>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</si>
  <si>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</si>
  <si>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</si>
  <si>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</si>
  <si>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</si>
  <si>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</si>
  <si>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</si>
  <si>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</si>
  <si>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</si>
  <si>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</si>
  <si>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</si>
  <si>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</si>
  <si>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</si>
  <si>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</si>
  <si>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</si>
  <si>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</si>
  <si>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</si>
  <si>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</si>
  <si>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</si>
  <si>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</si>
  <si>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</si>
  <si>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</si>
  <si>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Sustainable Energy Action Plan of Strovolos Municipality</t>
  </si>
  <si>
    <t>Municipal Council of Strovolos</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</si>
  <si>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</si>
  <si>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</si>
  <si>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</si>
  <si>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</si>
  <si>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</si>
  <si>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</si>
  <si>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</si>
  <si>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</si>
  <si>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</si>
  <si>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</si>
  <si>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</si>
  <si>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</si>
  <si>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</si>
  <si>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</si>
  <si>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</si>
  <si>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</si>
  <si>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</si>
  <si>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</si>
  <si>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</si>
  <si>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</si>
  <si>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</si>
  <si>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1: Replacement 8000 conventional lamps with new LED lamps</t>
  </si>
  <si>
    <t>Action 2: Improvement of the operating hours of the municipal public lighting</t>
  </si>
  <si>
    <t xml:space="preserve"> Electricity Authoriy of Cyprus - 
Strovolos Municipality</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</si>
  <si>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</si>
  <si>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</si>
  <si>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</si>
  <si>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</si>
  <si>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</si>
  <si>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Action 6: Bike sharing system. Nicosia City network. 500 Bicycles</t>
  </si>
  <si>
    <t>Action 7: Bicycle motion day (once a year)</t>
  </si>
  <si>
    <t>Action 8: Free parking for electric and hybrid cars (20 CARS)</t>
  </si>
  <si>
    <t>Action 9: Charging points for electric cars</t>
  </si>
  <si>
    <t>Ministry of Communications and works</t>
  </si>
  <si>
    <t>Municipalities of Nicosia Region</t>
  </si>
  <si>
    <t>Strovolos Municipality</t>
  </si>
  <si>
    <t>Action 1: Replacment of 5 saloon cars, with electri/hybdrid cars</t>
  </si>
  <si>
    <t>Action 2: Optimization of municipal fleet transportation rutes</t>
  </si>
  <si>
    <t>Municipal fleet</t>
  </si>
  <si>
    <t>Private transportation</t>
  </si>
  <si>
    <t>Public Transport</t>
  </si>
  <si>
    <t>Action 1: 2 Photovoltaic Parks 150 kW each</t>
  </si>
  <si>
    <t>Action G1: Planting</t>
  </si>
  <si>
    <t>Action G2: Tree care</t>
  </si>
  <si>
    <t>Green Area</t>
  </si>
  <si>
    <t>Action A1. Free of charge provided services to the citizens (about RES etc)</t>
  </si>
  <si>
    <t>Action A2. Booklets distribution</t>
  </si>
  <si>
    <t>Action A3. Radio and TV spots</t>
  </si>
  <si>
    <t>Action A4. Energy saving and Renewable Energy day</t>
  </si>
  <si>
    <t>Action A5. Website informations</t>
  </si>
  <si>
    <t>Action A6. Bicycle motion day (once a year)</t>
  </si>
  <si>
    <t>Action A7. Eco cars day (once a year)</t>
  </si>
  <si>
    <t>Action A8. No lighting day</t>
  </si>
  <si>
    <t xml:space="preserve">Action A9. Presentations to the public </t>
  </si>
  <si>
    <t xml:space="preserve"> Action A10. Educational presentations for students</t>
  </si>
  <si>
    <t xml:space="preserve">Action A11. Yearly seminar about RES </t>
  </si>
  <si>
    <t>Action A12. Yearly seminar about saving energy in industries</t>
  </si>
  <si>
    <t>Action A13. Yearly seminar about Energy Saving</t>
  </si>
  <si>
    <t>Action A14. Lessons about eco driving</t>
  </si>
  <si>
    <t>4100</t>
  </si>
  <si>
    <t>3600</t>
  </si>
  <si>
    <t>0</t>
  </si>
  <si>
    <t>Municipal Buildings, equipment/facilities</t>
  </si>
  <si>
    <t>Action 2: Power factor installation to the Municipality Building</t>
  </si>
  <si>
    <t>Action 3: Thermal insulation (roof) of the Municipality Building</t>
  </si>
  <si>
    <t>Action 4: 250 HPS lamps replacement with fluorescent lamps in the Municipality building (THEATER) and 100 conventional lamps replacement with fluorescent lamps in the Municipality building (OFFICES)</t>
  </si>
  <si>
    <t>Action 5: 20 kW photovoltaics installation on Acropolis Park building</t>
  </si>
  <si>
    <t>Action 6: 20 kW photovoltaics installation on Municipality storehouses building</t>
  </si>
  <si>
    <t>Action 7: CREATING A NEW CULTURAL CENTRE IN THE MUNICIPALITY OF STROVOLOS with energy efficient design</t>
  </si>
  <si>
    <t>Action 1: Thermal insulation (roof) of Acropolis Park building</t>
  </si>
  <si>
    <t>Energy saving</t>
  </si>
  <si>
    <t>www.strovolos.org.cy</t>
  </si>
  <si>
    <t>Cyprus - Strovolos</t>
  </si>
  <si>
    <t xml:space="preserve"> </t>
  </si>
  <si>
    <t>Strovolos is the biggest municipality in Cyprus. Has signed the Covenant of Mayors in order to take actions towards protection of environment and make the living environment better to citizens and future generations. The Municipality of Strovolos is in constant progress and development through team work. The aim is to take the necessary steps so as Strovolos to become a modern European city with respect to its habitants and environment. The Support Office to Citizens of Strovolos was founded and has made communication between citizens and the municipality services on a qualitative basis. Certification to ISO 9001:2000 of certain municipal services was a strategic objective and has been achieved.</t>
  </si>
  <si>
    <t>The Energy team is consisted of: The Mayor, the Municipal European Projects officer, Municipal Health and Safety officer, Municipal Technical Department representative, Municipal Financial Department representative and Municipal Administrative staff</t>
  </si>
  <si>
    <t>Strovolos Municipality has allocated 4 people from its staff to be the Team working on the SEAP and team leader. The team will be also responsible for the implementation of actions.</t>
  </si>
  <si>
    <t>The Cyprus Energy Agency as supporting structure, in permanent communication with the team allocated, has contributed to the consultation with stakeholders.</t>
  </si>
  <si>
    <t>The total estimated budget for the period 2010-2020 is 3.408.000 €</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</si>
  <si>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</si>
  <si>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</si>
  <si>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BEI 2009</t>
  </si>
  <si>
    <t>BAU 2020</t>
  </si>
  <si>
    <t>SEAP 2020</t>
  </si>
  <si>
    <t>REDUCTION BASED ON BAU 2020</t>
  </si>
  <si>
    <t>REDUCTION BASED ON BEI 2009</t>
  </si>
</sst>
</file>

<file path=xl/styles.xml><?xml version="1.0" encoding="UTF-8" standalone="yes"?>
<styleSheet xmlns="http://schemas.openxmlformats.org/spreadsheetml/2006/main"><numFmts count="1"><numFmt numFmtID_"164" formatCode="#,##0.000"/></numFmts><fonts count="72"><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44"><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4" xfID_"0" applyNumberFormat="1" applyFont="1" applyFill="1" applyBorder="1" applyAlignment="1" applyProtection="1"><alignment horizontal="right" vertical="center" wrapText="1"/><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0" fontID_"10" fillID_"0" borderID_"0" xfID_"0" applyFont="1" applyBorder="1" applyAlignment="1" applyProtection="1"><alignment horizontal="center"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strovolos.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topLeftCell="A7" zoomScale="70" zoomScaleNormal="70" workbookViewID_"0"><selection activeCell="B6" sqref="B6"/></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35" t="str"><f>Translation!$A$31</f><v>Island  Sustainable Energy Action Plan (ISEAP)</v></c><c r="C1" s="235"/><c r="D1" s="88"/><c r="E1" s="88"/><c r="F1" s="88"/><c r="G1" s="88"/><c r="H1" s="88"/><c r="I1" s="88"/><c r="J1" s="88"/><c r="K1" s="88"/><c r="L1" s="88"/><c r="M1" s="88"/><c r="N1" s="88"/></row><row r="2" spans="1:31" s="21" customFormat="1" ht="28.5" customHeight="1"><c r="A2" s="236" t="s"><v>896</v></c><c r="B2" s="236"/><c r="C2" s="121"/><c r="D2" s="82"/><c r="E2" s="82"/><c r="F2" s="84" t="str"><f>Translation!$A$10</f><v>Island</v></c><c r="G2" s="85" t="str"><f>'Start here'!$B$5</f><v>Cyprus - Strovolos</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1104</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38" t="str"><f>Translation!A24</f><v>Contents</v></c><c r="C11" s="238"/></row><row r="12" spans="1:31" ht="15.75"><c r="A12" s="219" t="s"><v>564</v></c><c r="B12" s="237" t="str"><f>Translation!A25</f><v>Is intended to enable the translation of the tables.</v></c><c r="C12" s="237"/></row><row r="13" spans="1:31" ht="15.75"><c r="A13" s="219" t="s"><v>563</v></c><c r="B13" s="239" t="str"><f>Translation!A26</f><v>To insert CO2 emission factors for calculating emissions.</v></c><c r="C13" s="239"/></row><row r="14" spans="1:31" ht="15.75"><c r="A14" s="219" t="s"><v>876</v></c><c r="B14" s="239" t="str"><f>Translation!A27</f><v>To establish ISEAP targets, long-term vision and organizational and financial aspects.</v></c><c r="C14" s="239"/></row><row r="15" spans="1:31" ht="15.75"><c r="A15" s="219" t="s"><v>877</v></c><c r="B15" s="239" t="str"><f>Translation!A28</f><v>To present the baseline energy balance and CO2 emissions inventory.</v></c><c r="C15" s="239"/></row><row r="16" spans="1:31" ht="15.75"><c r="A16" s="219" t="s"><v>924</v></c><c r="B16" s="237" t="str"><f>Translation!A29</f><v>To present the plan energy balance in 2020 and CO2 emissions inventory.</v></c><c r="C16" s="237"/></row><row r="17" spans="1:3" ht="15.75"><c r="A17" s="219" t="s"><v>878</v></c><c r="B17" s="237" t="str"><f>Translation!A30</f><v>To present the list of energy sustainable actions, the investment and reduction of CO2 emissions.</v></c><c r="C17" s="237"/></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0" t="str"><f>Translation!$A$31</f><v>Island  Sustainable Energy Action Plan (ISEAP)</v></c><c r="B1" s="240"/><c r="C1" s="240"/><c r="D1" s="240"/><c r="E1" s="240"/><c r="F1" s="240"/><c r="G1" s="240"/><c r="H1" s="240"/><c r="I1" s="240"/><c r="J1" s="240"/><c r="K1" s="240"/><c r="L1" s="240"/></row><row r="2" spans="1:12" s="21" customFormat="1" ht="28.5" customHeight="1"><c r="A2" s="236" t="s"><v>896</v></c><c r="B2" s="236"/><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12"><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0" t="str"><f>Translation!$A$31</f><v>Island  Sustainable Energy Action Plan (ISEAP)</v></c><c r="C1" s="240"/><c r="D1" s="240"/><c r="E1" s="240"/><c r="F1" s="240"/><c r="G1" s="240"/><c r="H1" s="240"/><c r="I1" s="240"/><c r="J1" s="240"/><c r="K1" s="240"/><c r="L1" s="240"/><c r="M1" s="240"/><c r="N1" s="240"/><c r="O1" s="240"/><c r="P1" s="240"/><c r="Q1" s="240"/><c r="R1" s="240"/><c r="S1" s="240"/><c r="T1" s="240"/></row><row r="2" spans="1:22" s="21" customFormat="1" ht="28.5" customHeight="1"><c r="A2" s="241" t="s"><v>895</v></c><c r="B2" s="241"/><c r="C2" s="241"/><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4"/><c r="B5" s="244"/><c r="C5" s="249" t="str"><f>Translation!A98</f><v>Fossil fuels</v></c><c r="D5" s="249"/><c r="E5" s="249"/><c r="F5" s="249"/><c r="G5" s="249"/><c r="H5" s="249"/><c r="I5" s="249"/><c r="J5" s="249" t="str"><f>Translation!A107</f><v>Renewable energy sources</v></c><c r="K5" s="249"/><c r="L5" s="249"/><c r="M5" s="249"/><c r="N5" s="249"/><c r="O5" s="249"/><c r="P5" s="249"/><c r="Q5" s="249"/><c r="R5" s="249"/><c r="S5" s="244" t="str"><f>Translation!A123</f><v>Electricity</v></c><c r="T5" s="244"/><c r="U5" s="176"/><c r="V5" s="247" t="s"><v>567</v></c></row><row r="6" spans="1:22" ht="49.5" customHeight="1"><c r="A6" s="244"/><c r="B6" s="244"/><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48"/></row><row r="7" spans="1:22" s="174" customFormat="1" ht="20.25" customHeight="1"><c r="A7" s="245" t="str"><f>'Start here'!F7</f><v>IPCC emission factors</v></c><c r="B7" s="246"/><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42" t="str"><f>Translation!A14</f><v>IPCC emission factors</v></c><c r="B9" s="243"/><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42" t="str"><f>Translation!A15</f><v>Life Cicle Analysis (LCA) emission factors</v></c><c r="B10" s="243"/><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V5:V6"/><mergeCell ref="C5:I5"/><mergeCell ref="J5:R5"/><mergeCell ref="S5:T5"/><mergeCell ref="B1:T1"/><mergeCell ref="A2:C2"/><mergeCell ref="A10:B10"/><mergeCell ref="A9:B9"/><mergeCell ref="A5:B6"/><mergeCell ref="A7:B7"/></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zoomScale="55" zoomScaleNormal="55" workbookViewID_"0"><selection activeCell="B30" sqref="B30"/></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row><row r="2" spans="1:18" s="21" customFormat="1" ht="28.5" customHeight="1"><c r="A2" s="82"/><c r="B2" s="83" t="s"><v>450</v></c><c r="C2" s="82"/><c r="D2" s="82"/><c r="E2" s="82"/><c r="F2" s="84" t="str"><f>Translation!$A$10</f><v>Island</v></c><c r="G2" s="85" t="str"><f>'Start here'!$B$5</f><v>Cyprus - Strovolos</v></c><c r="H2" s="87"/><c r="I2" s="87"/><c r="J2" s="87"/><c r="K2" s="87"/><c r="L2" s="87"/><c r="M2" s="87"/><c r="N2" s="87"/><c r="O2" s="87"/><c r="P2" s="87"/><c r="Q2" s="87"/><c r="R2" s="87"/></row><row r="3" spans="1:18" ht="28.5" customHeight="1"><c r="A3" s="262"/><c r="B3" s="262"/><c r="C3" s="262"/><c r="D3" s="262"/><c r="E3" s="262"/><c r="F3" s="262"/><c r="G3" s="262"/><c r="H3" s="262"/><c r="I3" s="262"/><c r="J3" s="127"/><c r="K3" s="127"/><c r="Q3" s="27"/></row><row r="4" spans="1:18" ht="39.75" customHeight="1"><c r="A4" s="263" t="str"><f>Translation!A33</f><v>OVERALL STRATEGY</v></c><c r="B4" s="263"/><c r="C4" s="263"/><c r="D4" s="263"/><c r="E4" s="263"/><c r="F4" s="263"/><c r="G4" s="263"/><c r="H4" s="263"/><c r="I4" s="263"/><c r="J4" s="263"/><c r="K4" s="263"/><c r="L4" s="263"/><c r="M4" s="263"/><c r="N4" s="263"/><c r="O4" s="263"/><c r="P4" s="263"/><c r="Q4" s="263"/><c r="R4" s="263"/></row><row r="5" spans="1:18" ht="21"><c r="A5" s="137"/><c r="B5" s="146"/><c r="C5" s="147"/><c r="D5" s="148"/><c r="E5" s="148"/><c r="F5" s="148"/><c r="G5" s="149"/><c r="H5" s="150"/><c r="P5" s="267" t="str"><f>Translation!$A$53</f><v>Mandatory fields</v></c><c r="Q5" s="267"/><c r="R5" s="267"/></row><row r="6" spans="1:18" ht="31.5"><c r="A6" s="166"/><c r="B6" s="167"/><c r="J6" s="168" t="str"><f>Translation!A36</f><v>Absolute reduction</v></c><c r="L6" s="168" t="str"><f>Translation!A38</f><v>Per capita reduction</v></c></row><row r="7" spans="1:18" s="170" customFormat="1" ht="36"><c r="A7" s="119" t="s"><v>0</v></c><c r="B7" s="265" t="str"><f>Translation!A34</f><v>OVERALL CO2 EMISSION REDUCTION TARGET BY 2020</v></c><c r="C7" s="265"/><c r="D7" s="265"/><c r="E7" s="265"/><c r="F7" s="265"/><c r="G7" s="265"/><c r="H7" s="265"/><c r="I7" s="266"/><c r="J7" s="123"><v>0.2</v></c><c r="K7" s="169" t="str"><f>Translation!A37</f><v>or</v></c><c r="L7" s="123"><v>0.2</v></c><c r="M7" s="264" t="str"><f>Translation!$B$35</f><v>Please select the corresponding box</v></c><c r="N7" s="264"/><c r="O7" s="264"/></row><row r="8" spans="1:18" ht="33.75" customHeight="1"><c r="A8" s="137"/><c r="B8" s="146"/><c r="C8" s="147"/><c r="D8" s="148"/><c r="E8" s="148"/><c r="F8" s="148"/><c r="G8" s="149"/><c r="H8" s="150"/><c r="P8" s="126" t="s"><v>1105</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59" t="s"><v>1106</v></c><c r="C10" s="260"/><c r="D10" s="260"/><c r="E10" s="260"/><c r="F10" s="260"/><c r="G10" s="260"/><c r="H10" s="260"/><c r="I10" s="260"/><c r="J10" s="260"/><c r="K10" s="260"/><c r="L10" s="260"/><c r="M10" s="260"/><c r="N10" s="260"/><c r="O10" s="260"/><c r="P10" s="260"/><c r="Q10" s="260"/><c r="R10" s="261"/></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54" t="str"><f>Translation!A42</f><v>Coordination and organisational structures created/assigned</v></c><c r="C13" s="255"/><c r="D13" s="256" t="s"><v>1107</v></c><c r="E13" s="257"/><c r="F13" s="257"/><c r="G13" s="257"/><c r="H13" s="257"/><c r="I13" s="257"/><c r="J13" s="257"/><c r="K13" s="257"/><c r="L13" s="257"/><c r="M13" s="257"/><c r="N13" s="257"/><c r="O13" s="257"/><c r="P13" s="257"/><c r="Q13" s="257"/><c r="R13" s="258"/></row><row r="14" spans="1:18" ht="44.25" customHeight="1"><c r="A14" s="153"/><c r="B14" s="254" t="str"><f>Translation!A43</f><v>Staff capacity allocated</v></c><c r="C14" s="255"/><c r="D14" s="256" t="s"><v>1108</v></c><c r="E14" s="257"/><c r="F14" s="257"/><c r="G14" s="257"/><c r="H14" s="257"/><c r="I14" s="257"/><c r="J14" s="257"/><c r="K14" s="257"/><c r="L14" s="257"/><c r="M14" s="257"/><c r="N14" s="257"/><c r="O14" s="257"/><c r="P14" s="257"/><c r="Q14" s="257"/><c r="R14" s="258"/></row><row r="15" spans="1:18" ht="44.25" customHeight="1"><c r="A15" s="153"/><c r="B15" s="254" t="str"><f>Translation!A44</f><v>Involvement of stakeholders and citizens</v></c><c r="C15" s="255"/><c r="D15" s="256" t="s"><v>1109</v></c><c r="E15" s="257"/><c r="F15" s="257"/><c r="G15" s="257"/><c r="H15" s="257"/><c r="I15" s="257"/><c r="J15" s="257"/><c r="K15" s="257"/><c r="L15" s="257"/><c r="M15" s="257"/><c r="N15" s="257"/><c r="O15" s="257"/><c r="P15" s="257"/><c r="Q15" s="257"/><c r="R15" s="258"/></row><row r="16" spans="1:18" ht="44.25" customHeight="1"><c r="A16" s="153"/><c r="B16" s="254" t="str"><f>Translation!A45</f><v>Overall estimated budget</v></c><c r="C16" s="255"/><c r="D16" s="256" t="s"><v>1110</v></c><c r="E16" s="257"/><c r="F16" s="257"/><c r="G16" s="257"/><c r="H16" s="257"/><c r="I16" s="257"/><c r="J16" s="257"/><c r="K16" s="257"/><c r="L16" s="257"/><c r="M16" s="257"/><c r="N16" s="257"/><c r="O16" s="257"/><c r="P16" s="257"/><c r="Q16" s="257"/><c r="R16" s="258"/></row><row r="17" spans="1:18" ht="44.25" customHeight="1"><c r="A17" s="153"/><c r="B17" s="254" t="str"><f>Translation!A46</f><v>Foreseen financing sources for the investments within your action plan</v></c><c r="C17" s="255"/><c r="D17" s="256" t="s"><v>1111</v></c><c r="E17" s="257"/><c r="F17" s="257"/><c r="G17" s="257"/><c r="H17" s="257"/><c r="I17" s="257"/><c r="J17" s="257"/><c r="K17" s="257"/><c r="L17" s="257"/><c r="M17" s="257"/><c r="N17" s="257"/><c r="O17" s="257"/><c r="P17" s="257"/><c r="Q17" s="257"/><c r="R17" s="258"/></row><row r="18" spans="1:18" ht="44.25" customHeight="1"><c r="A18" s="153"/><c r="B18" s="254" t="str"><f>Translation!A47</f><v>Planned measures for monitoring and follow up</v></c><c r="C18" s="255"/><c r="D18" s="256" t="s"><v>1112</v></c><c r="E18" s="257"/><c r="F18" s="257"/><c r="G18" s="257"/><c r="H18" s="257"/><c r="I18" s="257"/><c r="J18" s="257"/><c r="K18" s="257"/><c r="L18" s="257"/><c r="M18" s="257"/><c r="N18" s="257"/><c r="O18" s="257"/><c r="P18" s="257"/><c r="Q18" s="257"/><c r="R18" s="258"/></row><row r="19" spans="1:18" ht="23.25" customHeight="1"><c r="A19" s="153"/><c r="B19" s="171"/><c r="C19" s="171"/><c r="D19" s="171"/><c r="E19" s="171"/><c r="F19" s="171"/><c r="G19" s="171"/><c r="H19" s="171"/><c r="I19" s="171"/></row><row r="20" spans="1:18" ht="23.25"><c r="A20" s="153"/><c r="B20" s="250" t="str"><f>Translation!A48</f><v xml:space="preserve">Go to the next sheet dedicated to your Baseline Emission Inventory </v></c><c r="C20" s="251"/><c r="D20" s="251"/><c r="E20" s="251"/><c r="F20" s="251"/><c r="G20" s="251"/><c r="H20" s="251"/><c r="I20" s="251"/><c r="J20" s="251"/><c r="K20" s="251"/><c r="L20" s="251"/><c r="M20" s="251"/><c r="N20" s="251"/><c r="O20" s="251"/><c r="P20" s="251"/><c r="Q20" s="251"/><c r="R20" s="251"/></row><row r="21" spans="1:18" ht="13.5" customHeight="1"><c r="A21" s="153"/><c r="B21" s="171"/><c r="C21" s="171"/><c r="D21" s="171"/><c r="E21" s="171"/><c r="F21" s="171"/><c r="G21" s="171"/><c r="H21" s="171"/><c r="I21" s="171"/></row><row r="22" spans="1:18" s="21" customFormat="1" ht="12.75" customHeight="1"><c r="B22" s="25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52"/><c r="D22" s="252"/><c r="E22" s="252"/><c r="F22" s="252"/><c r="G22" s="252"/><c r="H22" s="252"/><c r="I22" s="252"/><c r="J22" s="252"/><c r="K22" s="252"/><c r="L22" s="252"/><c r="M22" s="252"/><c r="N22" s="252"/><c r="O22" s="252"/><c r="P22" s="252"/><c r="Q22" s="252"/><c r="R22" s="252"/></row><row r="23" spans="1:18" s="21" customFormat="1" ht="12.75" customHeight="1"><c r="B23" s="252"/><c r="C23" s="252"/><c r="D23" s="252"/><c r="E23" s="252"/><c r="F23" s="252"/><c r="G23" s="252"/><c r="H23" s="252"/><c r="I23" s="252"/><c r="J23" s="252"/><c r="K23" s="252"/><c r="L23" s="252"/><c r="M23" s="252"/><c r="N23" s="252"/><c r="O23" s="252"/><c r="P23" s="252"/><c r="Q23" s="252"/><c r="R23" s="252"/></row><row r="24" spans="1:18" s="21" customFormat="1" ht="12.75" customHeight="1"><c r="B24" s="252"/><c r="C24" s="252"/><c r="D24" s="252"/><c r="E24" s="252"/><c r="F24" s="252"/><c r="G24" s="252"/><c r="H24" s="252"/><c r="I24" s="252"/><c r="J24" s="252"/><c r="K24" s="252"/><c r="L24" s="252"/><c r="M24" s="252"/><c r="N24" s="252"/><c r="O24" s="252"/><c r="P24" s="252"/><c r="Q24" s="252"/><c r="R24" s="252"/></row><row r="26" spans="1:18" s="172" customFormat="1" ht="15.75"><c r="B26" s="253"/><c r="C26" s="253"/><c r="D26" s="253"/><c r="E26" s="253"/><c r="F26" s="253"/><c r="G26" s="253"/><c r="H26" s="253"/><c r="I26" s="253"/><c r="J26" s="253"/><c r="K26" s="253"/><c r="L26" s="253"/><c r="M26" s="253"/><c r="N26" s="253"/><c r="O26" s="253"/></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12" zoomScale="70" zoomScaleNormal="70" workbookViewID_"0"><selection activeCell="I137" sqref="I13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c r="S1" s="240"/><c r="T1" s="240"/><c r="U1" s="240"/></row><row r="2" spans="1:30" s="21" customFormat="1" ht="28.5" customHeight="1"><c r="A2" s="82"/><c r="B2" s="83" t="s"><v>450</v></c><c r="C2" s="82"/><c r="D2" s="82"/><c r="E2" s="82"/><c r="F2" s="86"/><c r="G2" s="86"/><c r="H2" s="87"/><c r="I2" s="84" t="str"><f>Translation!$A$10</f><v>Island</v></c><c r="J2" s="85" t="str"><f>'Start here'!$B$5</f><v>Cyprus - Strovolos</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63" t="str"><f>Translation!A49</f><v>BASELINE EMISSION INVENTORY</v></c><c r="B4" s="263"/><c r="C4" s="263"/><c r="D4" s="263"/><c r="E4" s="263"/><c r="F4" s="263"/><c r="G4" s="263"/><c r="H4" s="263"/><c r="I4" s="263"/><c r="J4" s="263"/><c r="K4" s="263"/><c r="L4" s="263"/><c r="M4" s="263"/><c r="N4" s="263"/><c r="O4" s="263"/><c r="P4" s="263"/><c r="Q4" s="263"/><c r="R4" s="263"/><c r="S4" s="263"/><c r="T4" s="263"/><c r="U4" s="263"/><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67" t="str"><f>Translation!$A$53</f><v>Mandatory fields</v></c><c r="T6" s="267"/><c r="U6" s="267"/></row><row r="7" spans="1:30" s="135" customFormat="1" ht="36"><c r="A7" s="133" t="s"><v>0</v></c><c r="B7" s="134" t="str"><f>Translation!A50</f><v>GENERAL DATA</v></c><c r="L7" s="136"/></row><row r="8" spans="1:30" ht="21"><c r="A8" s="137"/><c r="B8" s="139" t="str"><f>Translation!A52</f><v>Number of inhabitants</v></c><c r="C8" s="283"><v>65000</v></c><c r="D8" s="284"/><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285" t="str"><f>'Start here'!F7</f><v>IPCC emission factors</v></c><c r="D10" s="285"/><c r="E10" s="285"/><c r="F10" s="285"/><c r="G10" s="285"/><c r="H10" s="285"/><c r="I10" s="285"/><c r="J10" s="28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1" t="str"><f>Translation!A56</f><v>DEMAND SECTOR</v></c><c r="C14" s="286" t="str"><f>Translation!A93</f><v>ENERGY FOR FINAL USE</v></c><c r="D14" s="287"/><c r="E14" s="287"/><c r="F14" s="287"/><c r="G14" s="287"/><c r="H14" s="287"/><c r="I14" s="287"/><c r="J14" s="287"/><c r="K14" s="287"/><c r="L14" s="287"/><c r="M14" s="287"/><c r="N14" s="287"/><c r="O14" s="287"/><c r="P14" s="287"/><c r="Q14" s="287"/><c r="R14" s="287"/><c r="S14" s="287"/><c r="T14" s="287"/><c r="U14" s="288"/></row><row r="15" spans="1:30" s="55" customFormat="1" ht="18" customHeight="1"><c r="B15" s="282"/><c r="C15" s="286" t="str"><f>Translation!A94</f><v>Centralized energy services</v></c><c r="D15" s="287"/><c r="E15" s="287"/><c r="F15" s="288"/><c r="G15" s="286" t="str"><f>Translation!A98</f><v>Fossil fuels</v></c><c r="H15" s="287"/><c r="I15" s="287"/><c r="J15" s="287"/><c r="K15" s="287"/><c r="L15" s="287"/><c r="M15" s="288"/><c r="N15" s="286" t="str"><f>Translation!A105</f><v>Renewable energy sources (excluding electricity and heat sold to public networks)</v></c><c r="O15" s="287"/><c r="P15" s="287"/><c r="Q15" s="287"/><c r="R15" s="287"/><c r="S15" s="287"/><c r="T15" s="288"/><c r="U15" s="281"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2"/></row><row r="17" spans="1:21" s="21" customFormat="1" ht="15.75"><c r="A17" s="22"/><c r="B17" s="70" t="str"><f>Translation!A59</f><v>RESIDENTIAL</v></c><c r="C17" s="124"><f>SUM(C18:C26)</f><v>173996.89999999997</v></c><c r="D17" s="124"><f>SUM(D18:D26)</f><v>0</v></c><c r="E17" s="124"><f>SUM(E18:E26)</f><v>0</v></c><c r="F17" s="68"><f t="shared" ref="F17:F52" si="0">SUM(C17:E17)</f><v>173996.89999999997</v></c><c r="G17" s="124"><f t="shared" ref="G17:L17" si="1">SUM(G18:G26)</f><v>67198.735855263163</v></c><c r="H17" s="124"><f t="shared" si="1"/><v>0</v></c><c r="I17" s="124"><f t="shared" si="1"/><v>0</v></c><c r="J17" s="124"><f t="shared" si="1"/><v>9622.6860197368405</v></c><c r="K17" s="124"><f t="shared" si="1"/><v>0</v></c><c r="L17" s="124"><f t="shared" si="1"/><v>0</v></c><c r="M17" s="68"><f t="shared" ref="M17:M52" si="2">SUM(G17:L17)</f><v>76821.421875</v></c><c r="N17" s="124"><f t="shared" ref="N17:S17" si="3">SUM(N18:N26)</f><v>0</v></c><c r="O17" s="124"><f t="shared" si="3"/><v>0</v></c><c r="P17" s="124"><f t="shared" si="3"/><v>18529.854967105264</v></c><c r="Q17" s="124"><f t="shared" si="3"/><v>510.75695723684208</v></c><c r="R17" s="124"><f t="shared" si="3"/><v>0</v></c><c r="S17" s="124"><f t="shared" si="3"/><v>10280.620805921053</v></c><c r="T17" s="68"><f t="shared" ref="T17" si="4">SUM(N17:S17)</f><v>29321.23273026316</v></c><c r="U17" s="68"><f t="shared" ref="U17" si="5">F17+M17+T17</f><v>280139.55460526311</v></c></row><row r="18" spans="1:21" s="21" customFormat="1" ht="15.75"><c r="A18" s="22"/><c r="B18" s="197" t="str"><f>Translation!A60</f><v>Hot water</v></c><c r="C18" s="158"><v>4423.6499999999996</v></c><c r="D18" s="158"/><c r="E18" s="158"/><c r="F18" s="68"><f t="shared" si="0"/><v>4423.6499999999996</v></c><c r="G18" s="222"><f>C18*14/16</f><v>3870.6937499999995</v></c><c r="H18" s="158"/><c r="I18" s="158"/><c r="J18" s="222"><f>C18*1/16</f><v>276.47812499999998</v></c><c r="K18" s="158"/><c r="L18" s="158"/><c r="M18" s="68"><f t="shared" si="2"/><v>4147.1718749999991</v></c><c r="N18" s="158"/><c r="O18" s="158"/><c r="P18" s="158"><v>17971.078125</v></c><c r="Q18" s="158"><v>138.23906249999999</v></c><c r="R18" s="158"/><c r="S18" s="158"><v>967.67343749999986</v></c><c r="T18" s="68"><f t="shared" ref="T18:T52" si="6">SUM(N18:S18)</f><v>19076.990625000002</v></c><c r="U18" s="68"><f t="shared" ref="U18:U52" si="7">F18+M18+T18</f><v>27647.8125</v></c></row><row r="19" spans="1:21" s="21" customFormat="1" ht="15.75"><c r="A19" s="22"/><c r="B19" s="197" t="str"><f>Translation!A61</f><v>Heating and cooling</v></c><c r="C19" s="158"><v>106167.59999999999</v></c><c r="D19" s="158"/><c r="E19" s="158"/><c r="F19" s="68"><f t="shared" si="0"/><v>106167.59999999999</v></c><c r="G19" s="222"><f>C19*34/57</f><v>63328.042105263157</v></c><c r="H19" s="158"/><c r="I19" s="158"/><c r="J19" s="222"><f>C19*4/57</f><v>7450.3578947368414</v></c><c r="K19" s="158"/><c r="L19" s="158"/><c r="M19" s="68"><f t="shared" si="2"/><v>70778.399999999994</v></c><c r="N19" s="158"/><c r="O19" s="158"/><c r="P19" s="158"><v>558.77684210526309</v></c><c r="Q19" s="158"><v>372.51789473684209</v></c><c r="R19" s="158"/><c r="S19" s="158"><v>9312.9473684210534</v></c><c r="T19" s="68"><f t="shared" si="6"/><v>10244.242105263158</v></c><c r="U19" s="68"><f t="shared" si="7"/><v>187190.24210526317</v></c></row><row r="20" spans="1:21" s="21" customFormat="1" ht="15.75"><c r="A20" s="22"/><c r="B20" s="197" t="str"><f>Translation!A62</f><v>Lighting</v></c><c r="C20" s="158"><v>5898.2</v></c><c r="D20" s="158"/><c r="E20" s="158"/><c r="F20" s="68"><f t="shared" si="0"/><v>5898.2</v></c><c r="G20" s="158"/><c r="H20" s="158"/><c r="I20" s="158"/><c r="J20" s="158"/><c r="K20" s="158"/><c r="L20" s="158"/><c r="M20" s="68"><f t="shared" si="2"/><v>0</v></c><c r="N20" s="158"/><c r="O20" s="158"/><c r="P20" s="158"/><c r="Q20" s="158"/><c r="R20" s="158"/><c r="S20" s="158"/><c r="T20" s="68"><f t="shared" si="6"/><v>0</v></c><c r="U20" s="68"><f t="shared" si="7"/><v>5898.2</v></c></row><row r="21" spans="1:21" s="21" customFormat="1" ht="15.75"><c r="A21" s="22"/><c r="B21" s="197" t="str"><f>Translation!A63</f><v>Cooking</v></c><c r="C21" s="158"><v>4423.6499999999996</v></c><c r="D21" s="158"/><c r="E21" s="158"/><c r="F21" s="68"><f t="shared" si="0"/><v>4423.6499999999996</v></c><c r="G21" s="158"/><c r="H21" s="158"/><c r="I21" s="158"/><c r="J21" s="222"><f>C21*30/70</f><v>1895.85</v></c><c r="K21" s="158"/><c r="L21" s="158"/><c r="M21" s="68"><f t="shared" si="2"/><v>1895.85</v></c><c r="N21" s="158"/><c r="O21" s="158"/><c r="P21" s="158"/><c r="Q21" s="158"/><c r="R21" s="158"/><c r="S21" s="158"/><c r="T21" s="68"><f t="shared" si="6"/><v>0</v></c><c r="U21" s="68"><f t="shared" si="7"/><v>6319.5</v></c></row><row r="22" spans="1:21" s="21" customFormat="1" ht="15.75"><c r="A22" s="22"/><c r="B22" s="197" t="str"><f>Translation!A64</f><v>Refrigerator and freezers</v></c><c r="C22" s="158"><v>26541.899999999998</v></c><c r="D22" s="158"/><c r="E22" s="158"/><c r="F22" s="68"><f t="shared" si="0"/><v>26541.899999999998</v></c><c r="G22" s="158"/><c r="H22" s="158"/><c r="I22" s="158"/><c r="J22" s="158"/><c r="K22" s="158"/><c r="L22" s="158"/><c r="M22" s="68"><f t="shared" si="2"/><v>0</v></c><c r="N22" s="158"/><c r="O22" s="158"/><c r="P22" s="158"/><c r="Q22" s="158"/><c r="R22" s="158"/><c r="S22" s="158"/><c r="T22" s="68"><f t="shared" si="6"/><v>0</v></c><c r="U22" s="68"><f t="shared" si="7"/><v>26541.899999999998</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26541.899999999998</v></c><c r="D26" s="158"/><c r="E26" s="158"/><c r="F26" s="68"><f t="shared" si="0"/><v>26541.899999999998</v></c><c r="G26" s="158"/><c r="H26" s="158"/><c r="I26" s="158"/><c r="J26" s="158"/><c r="K26" s="158"/><c r="L26" s="158"/><c r="M26" s="68"><f t="shared" si="2"/><v>0</v></c><c r="N26" s="158"/><c r="O26" s="158"/><c r="P26" s="158"/><c r="Q26" s="158"/><c r="R26" s="158"/><c r="S26" s="158"/><c r="T26" s="68"><f t="shared" si="6"/><v>0</v></c><c r="U26" s="68"><f t="shared" si="7"/><v>26541.899999999998</v></c></row><row r="27" spans="1:21" s="21" customFormat="1" ht="15.75"><c r="A27" s="22"/><c r="B27" s="70" t="str"><f>Translation!A69</f><v>PRIMARY SECTOR</v></c><c r="C27" s="124"><f>SUM(C28:C29)</f><v>1117.8589999999999</v></c><c r="D27" s="124"><f>SUM(D28:D29)</f><v>0</v></c><c r="E27" s="124"><f>SUM(E28:E29)</f><v>0</v></c><c r="F27" s="68"><f t="shared" si="0"/><v>1117.8589999999999</v></c><c r="G27" s="124"><f t="shared" ref="G27:L27" si="8">SUM(G28:G29)</f><v>678.81054308637192</v></c><c r="H27" s="124"><f t="shared" si="8"/><v>0</v></c><c r="I27" s="124"><f t="shared" si="8"/><v>0</v></c><c r="J27" s="124"><f t="shared" si="8"/><v>0</v></c><c r="K27" s="124"><f t="shared" si="8"/><v>0</v></c><c r="L27" s="124"><f t="shared" si="8"/><v>0</v></c><c r="M27" s="68"><f t="shared" si="2"/><v>678.81054308637192</v></c><c r="N27" s="124"><f t="shared" ref="N27:S27" si="9">SUM(N28:N29)</f><v>0</v></c><c r="O27" s="124"><f t="shared" si="9"/><v>0</v></c><c r="P27" s="124"><f t="shared" si="9"/><v>0</v></c><c r="Q27" s="124"><f t="shared" si="9"/><v>0</v></c><c r="R27" s="124"><f t="shared" si="9"/><v>0</v></c><c r="S27" s="124"><f t="shared" si="9"/><v>447.14359999999999</v></c><c r="T27" s="68"><f t="shared" si="6"/><v>447.14359999999999</v></c><c r="U27" s="68"><f t="shared" si="7"/><v>2243.8131430863718</v></c></row><row r="28" spans="1:21" s="21" customFormat="1" ht="15.75"><c r="A28" s="22"/><c r="B28" s="198" t="str"><f>Translation!A70</f><v>Agriculture, forestry and fishing</v></c><c r="C28" s="158"><v>1117.8589999999999</v></c><c r="D28" s="158"/><c r="E28" s="158"/><c r="F28" s="68"><f t="shared" si="0"/><v>1117.8589999999999</v></c><c r="G28" s="158"><v>678.81054308637192</v></c><c r="H28" s="158"/><c r="I28" s="158"/><c r="J28" s="158"/><c r="K28" s="158"/><c r="L28" s="158"/><c r="M28" s="68"><f t="shared" si="2"/><v>678.81054308637192</v></c><c r="N28" s="158"/><c r="O28" s="158"/><c r="P28" s="158"/><c r="Q28" s="158"/><c r="R28" s="158"/><c r="S28" s="158"><v>447.14359999999999</v></c><c r="T28" s="68"><f t="shared" si="6"/><v>447.14359999999999</v></c><c r="U28" s="68"><f t="shared" si="7"/><v>2243.8131430863718</v></c></row><row r="29" spans="1:21" s="21" customFormat="1" ht="15.75"><c r="A29" s="22"/><c r="B29" s="198" t="str"><f>Translation!A71</f><v>Mining and quarrying</v></c><c r="C29" s="158"><v>0</v></c><c r="D29" s="158"/><c r="E29" s="158"/><c r="F29" s="68"><f t="shared" si="0"/><v>0</v></c><c r="G29" s="158"/><c r="H29" s="158"/><c r="I29" s="158"/><c r="J29" s="158"/><c r="K29" s="158"/><c r="L29" s="158"/><c r="M29" s="68"><f t="shared" si="2"/><v>0</v></c><c r="N29" s="158"/><c r="O29" s="158"/><c r="P29" s="158"/><c r="Q29" s="158"/><c r="R29" s="158"/><c r="S29" s="158"/><c r="T29" s="68"><f t="shared" si="6"/><v>0</v></c><c r="U29" s="68"><f t="shared" si="7"/><v>0</v></c></row><row r="30" spans="1:21" s="21" customFormat="1" ht="15.75"><c r="A30" s="22"/><c r="B30" s="65" t="str"><f>Translation!A72</f><v>SECONDARY SECTOR</v></c><c r="C30" s="124"><f>SUM(C31:C33)</f><v>21482.050999999999</v></c><c r="D30" s="124"><f>SUM(D31:D33)</f><v>0</v></c><c r="E30" s="124"><f>SUM(E31:E33)</f><v>0</v></c><c r="F30" s="68"><f t="shared" si="0"/><v>21482.050999999999</v></c><c r="G30" s="124"><f t="shared" ref="G30:L30" si="10">SUM(G31:G33)</f><v>13044.796084228101</v></c><c r="H30" s="124"><f t="shared" si="10"/><v>0</v></c><c r="I30" s="124"><f t="shared" si="10"/><v>0</v></c><c r="J30" s="124"><f t="shared" si="10"/><v>4218.2476662364497</v></c><c r="K30" s="124"><f t="shared" si="10"/><v>0</v></c><c r="L30" s="124"><f t="shared" si="10"/><v>0</v></c><c r="M30" s="68"><f t="shared" si="2"/><v>17263.043750464552</v></c><c r="N30" s="124"><f t="shared" ref="N30:S30" si="11">SUM(N31:N33)</f><v>0</v></c><c r="O30" s="124"><f t="shared" si="11"/><v>0</v></c><c r="P30" s="124"><f t="shared" si="11"/><v>879.76469117647048</v></c><c r="Q30" s="124"><f t="shared" si="11"/><v>0</v></c><c r="R30" s="124"><f t="shared" si="11"/><v>0</v></c><c r="S30" s="124"><f t="shared" si="11"/><v>293.25489705882353</v></c><c r="T30" s="68"><f t="shared" si="6"/><v>1173.0195882352941</v></c><c r="U30" s="68"><f t="shared" si="7"/><v>39918.114338699845</v></c></row><row r="31" spans="1:21" s="21" customFormat="1" ht="15.75"><c r="A31" s="22"/><c r="B31" s="79" t="str"><f>Translation!A73</f><v>Manufacturing</v></c><c r="C31" s="158"><v>19941.332999999999</v></c><c r="D31" s="158"/><c r="E31" s="158"/><c r="F31" s="68"><f t="shared" si="0"/><v>19941.332999999999</v></c><c r="G31" s="158"><v>12109.207944469017</v></c><c r="H31" s="158"><v>0</v></c><c r="I31" s="158"><v>0</v></c><c r="J31" s="158"><v>3915.7099752204249</v></c><c r="K31" s="158"/><c r="L31" s="158"/><c r="M31" s="68"><f t="shared" si="2"/><v>16024.917919689442</v></c><c r="N31" s="158"/><c r="O31" s="158"/><c r="P31" s="158"><v>879.76469117647048</v></c><c r="Q31" s="158"/><c r="R31" s="158"/><c r="S31" s="158"><v>293.25489705882353</v></c><c r="T31" s="68"><f t="shared" si="6"/><v>1173.0195882352941</v></c><c r="U31" s="68"><f t="shared" si="7"/><v>37139.270507924732</v></c></row><row r="32" spans="1:21" s="21" customFormat="1" ht="30"><c r="A32" s="22"/><c r="B32" s="198" t="str"><f>Translation!A74</f><v>Water supply, sewerage, waste management and remediation activities</v></c><c r="C32" s="158"><v>750.33399999999995</v></c><c r="D32" s="158"/><c r="E32" s="158"/><c r="F32" s="68"><f t="shared" si="0"/><v>750.33399999999995</v></c><c r="G32" s="158"><v>455.63405584798244</v></c><c r="H32" s="158"><v>0</v></c><c r="I32" s="158"><v>0</v></c><c r="J32" s="158"><v>147.33670655552677</v></c><c r="K32" s="158"/><c r="L32" s="158"/><c r="M32" s="68"><f t="shared" si="2"/><v>602.97076240350918</v></c><c r="N32" s="158"/><c r="O32" s="158"/><c r="P32" s="158"/><c r="Q32" s="158"/><c r="R32" s="158"/><c r="S32" s="158"/><c r="T32" s="68"><f t="shared" si="6"/><v>0</v></c><c r="U32" s="68"><f t="shared" si="7"/><v>1353.3047624035091</v></c></row><row r="33" spans="1:21" s="21" customFormat="1" ht="15.75"><c r="A33" s="22"/><c r="B33" s="198" t="str"><f>Translation!A75</f><v>Construction</v></c><c r="C33" s="158"><v>790.38400000000001</v></c><c r="D33" s="158"/><c r="E33" s="158"/><c r="F33" s="68"><f t="shared" si="0"/><v>790.38400000000001</v></c><c r="G33" s="158"><v>479.95408391110061</v></c><c r="H33" s="158"><v>0</v></c><c r="I33" s="158"><v>0</v></c><c r="J33" s="158"><v>155.20098446049823</v></c><c r="K33" s="158"/><c r="L33" s="158"/><c r="M33" s="68"><f t="shared" si="2"/><v>635.15506837159887</v></c><c r="N33" s="158"/><c r="O33" s="158"/><c r="P33" s="158"/><c r="Q33" s="158"/><c r="R33" s="158"/><c r="S33" s="158"/><c r="T33" s="68"><f t="shared" si="6"/><v>0</v></c><c r="U33" s="68"><f t="shared" si="7"/><v>1425.5390683715989</v></c></row><row r="34" spans="1:21" s="21" customFormat="1" ht="15.75"><c r="A34" s="22"/><c r="B34" s="65" t="str"><f>Translation!A76</f><v>TERTIARY SECTOR</v></c><c r="C34" s="124"><f>SUM(C35:C42)</f><v>179687.101</v></c><c r="D34" s="124"><f>SUM(D35:D42)</f><v>0</v></c><c r="E34" s="124"><f>SUM(E35:E42)</f><v>0</v></c><c r="F34" s="68"><f t="shared" si="0"/><v>179687.101</v></c><c r="G34" s="124"><f t="shared" ref="G34:L34" si="12">SUM(G35:G42)</f><v>104978.65751742237</v></c><c r="H34" s="124"><f t="shared" si="12"/><v>0</v></c><c r="I34" s="124"><f t="shared" si="12"/><v>0</v></c><c r="J34" s="124"><f t="shared" si="12"/><v>33946.561848743979</v></c><c r="K34" s="124"><f t="shared" si="12"/><v>0</v></c><c r="L34" s="124"><f t="shared" si="12"/><v>0</v></c><c r="M34" s="68"><f t="shared" si="2"/><v>138925.21936616633</v></c><c r="N34" s="124"><f t="shared" ref="N34:S34" si="13">SUM(N35:N42)</f><v>0</v></c><c r="O34" s="124"><f t="shared" si="13"/><v>0</v></c><c r="P34" s="124"><f t="shared" si="13"/><v>7409.0525999999991</v></c><c r="Q34" s="124"><f t="shared" si="13"/><v>0</v></c><c r="R34" s="124"><f t="shared" si="13"/><v>0</v></c><c r="S34" s="124"><f t="shared" si="13"/><v>2469.6841999999997</v></c><c r="T34" s="68"><f t="shared" si="6"/><v>9878.7367999999988</v></c><c r="U34" s="68"><f t="shared" si="7"/><v>328491.05716616631</v></c></row><row r="35" spans="1:21" s="21" customFormat="1" ht="30"><c r="A35" s="22"/><c r="B35" s="198" t="str"><f>Translation!A77</f><v xml:space="preserve">Wholesale and retail trade; repair of motor vehicles and motorcycles </v></c><c r="C35" s="158"><v>56836.065999999999</v></c><c r="D35" s="158"/><c r="E35" s="158"/><c r="F35" s="68"><f t="shared" si="0"/><v>56836.065999999999</v></c><c r="G35" s="158"><v>34513.226469843583</v></c><c r="H35" s="158"/><c r="I35" s="158"/><c r="J35" s="158"><v>11160.414932566766</v></c><c r="K35" s="158"/><c r="L35" s="158"/><c r="M35" s="68"><f t="shared" si="2"/><v>45673.641402410351</v></c><c r="N35" s="158"/><c r="O35" s="158"/><c r="P35" s="158"><v>2435.8314</v></c><c r="Q35" s="158"/><c r="R35" s="158"/><c r="S35" s="158"><v>811.94380000000001</v></c><c r="T35" s="68"><f t="shared" si="6"/><v>3247.7752</v></c><c r="U35" s="68"><f t="shared" si="7"/><v>105757.48260241035</v></c></row><row r="36" spans="1:21" s="21" customFormat="1" ht="15.75"><c r="A36" s="22"/><c r="B36" s="198" t="str"><f>Translation!A78</f><v>Accomodation and food service activities</v></c><c r="C36" s="158"><v>6848.5050000000001</v></c><c r="D36" s="158"/><c r="E36" s="158"/><c r="F36" s="68"><f t="shared" si="0"/><v>6848.5050000000001</v></c><c r="G36" s="158"><v>4158.697472918976</v></c><c r="H36" s="158"/><c r="I36" s="158"/><c r="J36" s="158"><v>1344.782685482809</v></c><c r="K36" s="158"/><c r="L36" s="158"/><c r="M36" s="68"><f t="shared" si="2"/><v>5503.480158401785</v></c><c r="N36" s="158"/><c r="O36" s="158"/><c r="P36" s="158"><v>293.50735714285713</v></c><c r="Q36" s="158"/><c r="R36" s="158"/><c r="S36" s="158"><v>97.83578571428572</v></c><c r="T36" s="68"><f t="shared" si="6"/><v>391.34314285714288</v></c><c r="U36" s="68"><f t="shared" si="7"/><v>12743.328301258927</v></c></row><row r="37" spans="1:21" s="21" customFormat="1" ht="15.75"><c r="A37" s="22"/><c r="B37" s="198" t="str"><f>Translation!A79</f><v>General public administration and social security</v></c><c r="C37" s="158"><v>13467.083000000001</v></c><c r="D37" s="158"/><c r="E37" s="158"/><c r="F37" s="68"><f t="shared" si="0"/><v>13467.083000000001</v></c><c r="G37" s="158"><v>8177.7736950896733</v></c><c r="H37" s="158"/><c r="I37" s="158"/><c r="J37" s="158"><v>2644.4165613312516</v></c><c r="K37" s="158"/><c r="L37" s="158"/><c r="M37" s="68"><f t="shared" si="2"/><v>10822.190256420925</v></c><c r="N37" s="158"/><c r="O37" s="158"/><c r="P37" s="158"><v>577.16070000000002</v></c><c r="Q37" s="158"/><c r="R37" s="158"/><c r="S37" s="158"><v>192.3869</v></c><c r="T37" s="68"><f t="shared" si="6"/><v>769.54759999999999</v></c><c r="U37" s="68"><f t="shared" si="7"/><v>25058.820856420927</v></c></row><row r="38" spans="1:21" s="21" customFormat="1" ht="15.75"><c r="A38" s="22"/><c r="B38" s="198" t="str"><f>Translation!A80</f><v>Defense, justice, police and fire departments</v></c><c r="C38" s="158"><v>427.19600000000003</v></c><c r="D38" s="158"/><c r="E38" s="158"/><c r="F38" s="68"><f t="shared" si="0"/><v>427.19600000000003</v></c><c r="G38" s="158"><v>259.41120370666226</v></c><c r="H38" s="158"/><c r="I38" s="158"/><c r="J38" s="158"><v>83.884845540379118</v></c><c r="K38" s="158"/><c r="L38" s="158"/><c r="M38" s="68"><f t="shared" si="2"/><v>343.29604924704137</v></c><c r="N38" s="158"/><c r="O38" s="158"/><c r="P38" s="158"><v>18.308400000000002</v></c><c r="Q38" s="158"/><c r="R38" s="158"/><c r="S38" s="158"><v>6.1028000000000002</v></c><c r="T38" s="68"><f t="shared" si="6"/><v>24.411200000000001</v></c><c r="U38" s="68"><f t="shared" si="7"/><v>794.90324924704146</v></c></row><row r="39" spans="1:21" s="21" customFormat="1" ht="15.75"><c r="A39" s="22"/><c r="B39" s="198" t="str"><f>Translation!A81</f><v>Education</v></c><c r="C39" s="158"><v>22705.796999999999</v></c><c r="D39" s="158"/><c r="E39" s="158"/><c r="F39" s="68"><f t="shared" si="0"/><v>22705.796999999999</v></c><c r="G39" s="158"><v>13787.905623856779</v></c><c r="H39" s="158"/><c r="I39" s="158"/><c r="J39" s="158"><v>4458.5442612201505</v></c><c r="K39" s="158"/><c r="L39" s="158"/><c r="M39" s="68"><f t="shared" si="2"/><v>18246.449885076931</v></c><c r="N39" s="158"/><c r="O39" s="158"/><c r="P39" s="158"><v>973.10558571428578</v></c><c r="Q39" s="158"/><c r="R39" s="158"/><c r="S39" s="158"><v>324.36852857142856</v></c><c r="T39" s="68"><f t="shared" si="6"/><v>1297.4741142857142</v></c><c r="U39" s="68"><f t="shared" si="7"/><v>42249.720999362646</v></c></row><row r="40" spans="1:21" s="21" customFormat="1" ht="15.75"><c r="A40" s="22"/><c r="B40" s="198" t="str"><f>Translation!A82</f><v>Human health and social work activities</v></c><c r="C40" s="158"><v>15112.38</v></c><c r="D40" s="158"/><c r="E40" s="158"/><c r="F40" s="68"><f t="shared" si="0"/><v>15112.38</v></c><c r="G40" s="158"><v>9176.8665593134956</v></c><c r="H40" s="158"/><c r="I40" s="158"/><c r="J40" s="158"><v>2967.4895412117962</v></c><c r="K40" s="158"/><c r="L40" s="158"/><c r="M40" s="68"><f t="shared" si="2"/><v>12144.356100525292</v></c><c r="N40" s="158"/><c r="O40" s="158"/><c r="P40" s="158"><v>647.67342857142853</v></c><c r="Q40" s="158"/><c r="R40" s="158"/><c r="S40" s="158"><v>215.89114285714285</v></c><c r="T40" s="68"><f t="shared" si="6"/><v>863.56457142857141</v></c><c r="U40" s="68"><f t="shared" si="7"/><v>28120.300671953861</v></c></row><row r="41" spans="1:21" s="21" customFormat="1" ht="15.75"><c r="A41" s="22"/><c r="B41" s="198" t="str"><f>Translation!A83</f><v>Other services</v></c><c r="C41" s="158"><v>57480.866999999998</v></c><c r="D41" s="158"/><c r="E41" s="158"/><c r="F41" s="68"><f t="shared" si="0"/><v>57480.866999999998</v></c><c r="G41" s="158"><v>34904.776492693192</v></c><c r="H41" s="158"/><c r="I41" s="158"/><c r="J41" s="158"><v>11287.029021390825</v></c><c r="K41" s="158"/><c r="L41" s="158"/><c r="M41" s="68"><f t="shared" si="2"/><v>46191.805514084015</v></c><c r="N41" s="158"/><c r="O41" s="158"/><c r="P41" s="158"><v>2463.4657285714284</v></c><c r="Q41" s="158"/><c r="R41" s="158"/><c r="S41" s="158"><v>821.15524285714287</v></c><c r="T41" s="68"><f t="shared" si="6"/><v>3284.6209714285715</v></c><c r="U41" s="68"><f t="shared" si="7"/><v>106957.29348551258</v></c></row><row r="42" spans="1:21" s="21" customFormat="1" ht="15.75"><c r="A42" s="22"/><c r="B42" s="198" t="str"><f>Translation!A84</f><v>Public lighting</v></c><c r="C42" s="158"><v>6809.2070000000003</v></c><c r="D42" s="158"/><c r="E42" s="158"/><c r="F42" s="68"><f t="shared" si="0"/><v>6809.2070000000003</v></c><c r="G42" s="158"/><c r="H42" s="158"/><c r="I42" s="158"/><c r="J42" s="158"/><c r="K42" s="158"/><c r="L42" s="158"/><c r="M42" s="68"><f t="shared" si="2"/><v>0</v></c><c r="N42" s="158"/><c r="O42" s="158"/><c r="P42" s="158"/><c r="Q42" s="158"/><c r="R42" s="158"/><c r="S42" s="158"/><c r="T42" s="68"><f t="shared" si="6"/><v>0</v></c><c r="U42" s="68"><f t="shared" si="7"/><v>6809.2070000000003</v></c></row><row r="43" spans="1:21" s="21" customFormat="1" ht="15.75"><c r="A43" s="22"/><c r="B43" s="65" t="str"><f>Translation!A85</f><v>TRANSPORTS</v></c><c r="C43" s="124"><f>SUM(C44:C47)</f><v>35</v></c><c r="D43" s="124"><f>SUM(D44:D47)</f><v>0</v></c><c r="E43" s="124"><f>SUM(E44:E47)</f><v>0</v></c><c r="F43" s="68"><f t="shared" si="0"/><v>35</v></c><c r="G43" s="124"><f t="shared" ref="G43:L43" si="14">SUM(G44:G47)</f><v>0</v></c><c r="H43" s="124"><f t="shared" si="14"/><v>207887</v></c><c r="I43" s="124"><f t="shared" si="14"/><v>275251</v></c><c r="J43" s="124"><f t="shared" si="14"/><v>0</v></c><c r="K43" s="124"><f t="shared" si="14"/><v>0</v></c><c r="L43" s="124"><f t="shared" si="14"/><v>0</v></c><c r="M43" s="68"><f t="shared" si="2"/><v>483138</v></c><c r="N43" s="124"><f t="shared" ref="N43:S43" si="15">SUM(N44:N47)</f><v>0</v></c><c r="O43" s="124"><f t="shared" si="15"/><v>0</v></c><c r="P43" s="124"><f t="shared" si="15"/><v>0</v></c><c r="Q43" s="124"><f t="shared" si="15"/><v>0</v></c><c r="R43" s="124"><f t="shared" si="15"/><v>0</v></c><c r="S43" s="124"><f t="shared" si="15"/><v>9469.5048000000006</v></c><c r="T43" s="68"><f t="shared" si="6"/><v>9469.5048000000006</v></c><c r="U43" s="68"><f t="shared" si="7"/><v>492642.5048</v></c></row><row r="44" spans="1:21" s="21" customFormat="1" ht="30"><c r="A44" s="22"/><c r="B44" s="198" t="str"><f>Translation!A86</f><v>Passenger road transport and other passenger road transport services (public transports, taxi, tourism, school buses, etc.)</v></c><c r="C44" s="158"><v>35</v></c><c r="D44" s="158"/><c r="E44" s="158"/><c r="F44" s="68"><f t="shared" si="0"/><v>35</v></c><c r="G44" s="158"/><c r="H44" s="158"><v>4157.74</v></c><c r="I44" s="158"><v>5505.02</v></c><c r="J44" s="158"/><c r="K44" s="158"/><c r="L44" s="158"/><c r="M44" s="68"><f t="shared" si="2"/><v>9662.76</v></c><c r="N44" s="158"/><c r="O44" s="158"/><c r="P44" s="158"/><c r="Q44" s="158"/><c r="R44" s="158"/><c r="S44" s="158"/><c r="T44" s="68"><f t="shared" si="6"/><v>0</v></c><c r="U44" s="68"><f t="shared" si="7"/><v>9697.76</v></c></row><row r="45" spans="1:21" s="21" customFormat="1" ht="15.75"><c r="A45" s="22"/><c r="B45" s="198" t="str"><f>Translation!A87</f><v>Freight transport by road and removal services</v></c><c r="C45" s="158"/><c r="D45" s="158"/><c r="E45" s="158"/><c r="F45" s="68"><f t="shared" si="0"/><v>0</v></c><c r="G45" s="158"/><c r="H45" s="158"><v>66523.839999999997</v></c><c r="I45" s="158"><v>88080.320000000007</v></c><c r="J45" s="158"/><c r="K45" s="158"/><c r="L45" s="158"/><c r="M45" s="68"><f t="shared" si="2"/><v>154604.16</v></c><c r="N45" s="158"/><c r="O45" s="158"/><c r="P45" s="158"/><c r="Q45" s="158"/><c r="R45" s="158"/><c r="S45" s="158"><v>3092.0832</v></c><c r="T45" s="68"><f t="shared" si="6"/><v>3092.0832</v></c><c r="U45" s="68"><f t="shared" si="7"/><v>157696.2432</v></c></row><row r="46" spans="1:21" s="21" customFormat="1" ht="15.75"><c r="A46" s="22"/><c r="B46" s="198" t="str"><f>Translation!A88</f><v>Other fleet for public and private services</v></c><c r="C46" s="158"/><c r="D46" s="158"/><c r="E46" s="158"/><c r="F46" s="68"><f t="shared" si="0"/><v>0</v></c><c r="G46" s="158"/><c r="H46" s="158"><v>0</v></c><c r="I46" s="158"><v>0</v></c><c r="J46" s="158"/><c r="K46" s="158"/><c r="L46" s="158"/><c r="M46" s="68"><f t="shared" si="2"/><v>0</v></c><c r="N46" s="158"/><c r="O46" s="158"/><c r="P46" s="158"/><c r="Q46" s="158"/><c r="R46" s="158"/><c r="S46" s="158"><v>0</v></c><c r="T46" s="68"><f t="shared" si="6"/><v>0</v></c><c r="U46" s="68"><f t="shared" si="7"/><v>0</v></c></row><row r="47" spans="1:21" s="21" customFormat="1" ht="15.75"><c r="A47" s="22"/><c r="B47" s="197" t="str"><f>Translation!A89</f><v>Private transports</v></c><c r="C47" s="158"/><c r="D47" s="158"/><c r="E47" s="158"/><c r="F47" s="68"><f t="shared" si="0"/><v>0</v></c><c r="G47" s="158"/><c r="H47" s="158"><v>137205.42000000001</v></c><c r="I47" s="158"><v>181665.66</v></c><c r="J47" s="158"/><c r="K47" s="158"/><c r="L47" s="158"/><c r="M47" s="68"><f t="shared" si="2"/><v>318871.08</v></c><c r="N47" s="158"/><c r="O47" s="158"/><c r="P47" s="158"/><c r="Q47" s="158"/><c r="R47" s="158"/><c r="S47" s="158"><v>6377.4216000000006</v></c><c r="T47" s="68"><f t="shared" si="6"/><v>6377.4216000000006</v></c><c r="U47" s="68"><f t="shared" si="7"/><v>325248.50160000002</v></c></row><row r="48" spans="1:21" s="21" customFormat="1" ht="15.75"><c r="A48" s="22"/><c r="B48" s="77" t="str"><f>Translation!A117</f><v>TOTAL FOR INTERNAL MARKET</v></c><c r="C48" s="159"><f>C17+C27+C30+C34+C43</f><v>376318.91099999996</v></c><c r="D48" s="159"><f>D17+D27+D30+D34+D43</f><v>0</v></c><c r="E48" s="159"><f>E17+E27+E30+E34+E43</f><v>0</v></c><c r="F48" s="68"><f t="shared" si="0"/><v>376318.91099999996</v></c><c r="G48" s="69"><f t="shared" ref="G48:L48" si="16">G17+G27+G30+G34+G43</f><v>185901</v></c><c r="H48" s="69"><f t="shared" si="16"/><v>207887</v></c><c r="I48" s="69"><f t="shared" si="16"/><v>275251</v></c><c r="J48" s="69"><f t="shared" si="16"/><v>47787.495534717265</v></c><c r="K48" s="69"><f t="shared" si="16"/><v>0</v></c><c r="L48" s="69"><f t="shared" si="16"/><v>0</v></c><c r="M48" s="68"><f t="shared" si="2"/><v>716826.49553471722</v></c><c r="N48" s="69"><f t="shared" ref="N48:S48" si="17">N17+N27+N30+N34+N43</f><v>0</v></c><c r="O48" s="69"><f t="shared" si="17"/><v>0</v></c><c r="P48" s="69"><f t="shared" si="17"/><v>26818.672258281735</v></c><c r="Q48" s="69"><f t="shared" si="17"/><v>510.75695723684208</v></c><c r="R48" s="69"><f t="shared" si="17"/><v>0</v></c><c r="S48" s="69"><f t="shared" si="17"/><v>22960.208302979874</v></c><c r="T48" s="68"><f t="shared" si="6"/><v>50289.63751849845</v></c><c r="U48" s="68"><f t="shared" si="7"/><v>1143435.0440532155</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1" t="str"><f>Translation!A120</f><v>PRODUCTION SECTOR</v></c><c r="C55" s="286" t="str"><f>Translation!A121</f><v>ENERGY SOURCE</v></c><c r="D55" s="287"/><c r="E55" s="287"/><c r="F55" s="287"/><c r="G55" s="287"/><c r="H55" s="287"/><c r="I55" s="287"/><c r="J55" s="287"/><c r="K55" s="287"/><c r="L55" s="287"/><c r="M55" s="287"/><c r="N55" s="287"/><c r="O55" s="287"/><c r="P55" s="287"/><c r="Q55" s="287"/><c r="R55" s="287"/><c r="S55" s="288"/><c r="T55" s="286" t="str"><f>Translation!A138</f><v>SECONDARY ENERGY CONVERSION</v></c><c r="U55" s="287"/><c r="V55" s="288"/><c r="W55" s="275" t="str"><f>Translation!A129</f><v>ENERGY FLUXES</v></c><c r="X55" s="276"/><c r="Y55" s="276"/><c r="Z55" s="276"/><c r="AA55" s="276"/><c r="AB55" s="277"/><c r="AC55" s="292" t="str"><f>Translation!A118</f><v>TOTAL</v></c><c r="AD55" s="249" t="str"><f>Translation!A137</f><v>Distribution losses and self-consumption</v></c></row><row r="56" spans="2:32" s="55" customFormat="1" ht="18" customHeight="1"><c r="B56" s="282"/><c r="C56" s="289" t="str"><f>Translation!A98</f><v>Fossil fuels</v></c><c r="D56" s="290"/><c r="E56" s="290"/><c r="F56" s="290"/><c r="G56" s="290"/><c r="H56" s="290"/><c r="I56" s="291"/><c r="J56" s="289" t="str"><f>Translation!A106</f><v>Renewable energy sources (from systems connected to public networks)</v></c><c r="K56" s="290"/><c r="L56" s="290"/><c r="M56" s="290"/><c r="N56" s="290"/><c r="O56" s="290"/><c r="P56" s="290"/><c r="Q56" s="290"/><c r="R56" s="291"/><c r="S56" s="249" t="str"><f>Translation!A116</f><v>Subtotal</v></c><c r="T56" s="273" t="str"><f>Translation!A139</f><v>Electricity conversion to cold</v></c><c r="U56" s="273" t="str"><f>Translation!A140</f><v>Heat conversion to cold</v></c><c r="V56" s="249" t="str"><f>Translation!A116</f><v>Subtotal</v></c><c r="W56" s="294" t="str"><f>Translation!A130</f><v>Storage</v></c><c r="X56" s="295"/><c r="Y56" s="293" t="str"><f>Translation!A133</f><v>External connection</v></c><c r="Z56" s="293"/><c r="AA56" s="281" t="str"><f>Translation!A136</f><v>Reexportation and external consumption</v></c><c r="AB56" s="249" t="str"><f>Translation!A116</f><v>Subtotal</v></c><c r="AC56" s="292"/><c r="AD56" s="24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9"/><c r="T57" s="274"/><c r="U57" s="274"/><c r="V57" s="249"/><c r="W57" s="117" t="str"><f>Translation!A131</f><v>Input to storage</v></c><c r="X57" s="117" t="str"><f>Translation!A132</f><v>Output from storage</v></c><c r="Y57" s="117" t="str"><f>Translation!A134</f><v>Import to island</v></c><c r="Z57" s="117" t="str"><f>Translation!A135</f><v>Export from island</v></c><c r="AA57" s="282"/><c r="AB57" s="249"/><c r="AC57" s="292"/><c r="AD57" s="249"/></row><row r="58" spans="2:32" s="55" customFormat="1" ht="15.75"><c r="B58" s="199" t="str"><f>Translation!A123</f><v>Electricity</v></c><c r="C58" s="164"><v>344879.64181799995</v></c><c r="D58" s="164"><v>4896.8711819999999</v></c><c r="E58" s="164"/><c r="F58" s="164"/><c r="G58" s="164"/><c r="H58" s="164"/><c r="I58" s="63"><f>SUM(C58:H58)</f><v>349776.51299999992</v></c><c r="J58" s="164"/><c r="K58" s="164"/><c r="L58" s="164"/><c r="M58" s="164"/><c r="N58" s="164"/><c r="O58" s="164"/><c r="P58" s="164"/><c r="Q58" s="164"/><c r="R58" s="63"><f>SUM(J58:Q58)</f><v>0</v></c><c r="S58" s="63"><f>I58+R58</f><v>349776.51299999992</v></c><c r="T58" s="164"/><c r="U58" s="164"/><c r="V58" s="63"><f>-T58</f><v>0</v></c><c r="W58" s="164"/><c r="X58" s="164"/><c r="Y58" s="164"/><c r="Z58" s="164"/><c r="AA58" s="201"><f>$C$49+$C$50+$C$51</f><v>0</v></c><c r="AB58" s="63"><f>-SUM(W58)+SUM(X58:Y58)-SUM(Z58:AA58)</f><v>0</v></c><c r="AC58" s="68"><f>S58+V58+AB58</f><v>349776.51299999992</v></c><c r="AD58" s="202"><f>AC58-C48</f><v>-26542.398000000045</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344879.64181799995</v></c><c r="D61" s="57"><f t="shared" si="20"/><v>4896.8711819999999</v></c><c r="E61" s="57"><f t="shared" si="20"/><v>0</v></c><c r="F61" s="57"><f t="shared" si="20"/><v>0</v></c><c r="G61" s="57"><f t="shared" si="20"/><v>0</v></c><c r="H61" s="57"><f t="shared" si="20"/><v>0</v></c><c r="I61" s="57"><f t="shared" si="20"/><v>349776.51299999992</v></c><c r="J61" s="57"><f t="shared" si="20"/><v>0</v></c><c r="K61" s="57"><f t="shared" si="20"/><v>0</v></c><c r="L61" s="57"><f t="shared" si="20"/><v>0</v></c><c r="M61" s="57"><f t="shared" si="20"/><v>0</v></c><c r="N61" s="57"><f t="shared" si="20"/><v>0</v></c><c r="O61" s="57"><f t="shared" si="20"/><v>0</v></c><c r="P61" s="57"><f t="shared" si="20"/><v>0</v></c><c r="Q61" s="57"><f t="shared" si="20"/><v>0</v></c><c r="R61" s="57"><f t="shared" si="20"/><v>0</v></c><c r="S61" s="57"><f t="shared" si="20"/><v>349776.51299999992</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349776.51299999992</v></c><c r="AD61" s="57"><f t="shared" si="20"/><v>-26542.398000000045</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1" t="str"><f>Translation!A120</f><v>PRODUCTION SECTOR</v></c><c r="C64" s="300" t="str"><f>Translation!A142</f><v>PRIMARY ENERGY SOURCE</v></c><c r="D64" s="301"/><c r="E64" s="301"/><c r="F64" s="301"/><c r="G64" s="301"/><c r="H64" s="301"/><c r="I64" s="301"/><c r="J64" s="301"/><c r="K64" s="301"/><c r="L64" s="301"/><c r="M64" s="301"/><c r="N64" s="301"/><c r="O64" s="301"/><c r="P64" s="301"/><c r="Q64" s="301"/><c r="R64" s="301"/><c r="S64" s="302"/><c r="T64" s="296" t="str"><f>Translation!A127</f><v>Conversion losses from primary to secondary energy</v></c><c r="U64" s="61"/><c r="V64" s="61"/><c r="W64" s="72"/><c r="X64" s="61"/><c r="Y64" s="61"/><c r="Z64" s="61"/><c r="AA64" s="61"/><c r="AB64" s="61"/><c r="AC64" s="61"/><c r="AD64" s="61"/><c r="AE64" s="61"/></row><row r="65" spans="2:32" s="55" customFormat="1" ht="15" customHeight="1"><c r="B65" s="282"/><c r="C65" s="300" t="str"><f>Translation!A98</f><v>Fossil fuels</v></c><c r="D65" s="301"/><c r="E65" s="301"/><c r="F65" s="301"/><c r="G65" s="301"/><c r="H65" s="301"/><c r="I65" s="302"/><c r="J65" s="300" t="str"><f>Translation!A107</f><v>Renewable energy sources</v></c><c r="K65" s="301"/><c r="L65" s="301"/><c r="M65" s="301"/><c r="N65" s="301"/><c r="O65" s="301"/><c r="P65" s="301"/><c r="Q65" s="301"/><c r="R65" s="302"/><c r="S65" s="299" t="str"><f>Translation!A118</f><v>TOTAL</v></c><c r="T65" s="297"/><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299"/><c r="T66" s="298"/><c r="U66" s="61"/><c r="V66" s="61"/><c r="W66" s="72"/><c r="X66" s="61"/><c r="Y66" s="61"/><c r="Z66" s="61"/><c r="AA66" s="61"/><c r="AB66" s="61"/><c r="AC66" s="61"/><c r="AD66" s="61"/><c r="AE66" s="61"/></row><row r="67" spans="2:32" s="55" customFormat="1" ht="15.75"><c r="B67" s="199" t="str"><f>Translation!A123</f><v>Electricity</v></c><c r="C67" s="164"><v>1076970.7020383582</v></c><c r="D67" s="164"><v>19587.484727999999</v></c><c r="E67" s="164"/><c r="F67" s="164"/><c r="G67" s="164"/><c r="H67" s="164"/><c r="I67" s="63"><f>SUM(C67:H67)</f><v>1096558.1867663581</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1096558.1867663581</v></c><c r="T67" s="75"><f>S67-AC58+AB58</f><v>746781.67376635817</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1076970.7020383582</v></c><c r="D70" s="57"><f t="shared" si="23"/><v>19587.484727999999</v></c><c r="E70" s="57"><f t="shared" si="23"/><v>0</v></c><c r="F70" s="57"><f t="shared" si="23"/><v>0</v></c><c r="G70" s="57"><f t="shared" si="23"/><v>0</v></c><c r="H70" s="57"><f t="shared" si="23"/><v>0</v></c><c r="I70" s="57"><f t="shared" si="23"/><v>1096558.1867663581</v></c><c r="J70" s="57"><f t="shared" si="23"/><v>0</v></c><c r="K70" s="57"><f t="shared" si="23"/><v>0</v></c><c r="L70" s="57"><f t="shared" si="23"/><v>0</v></c><c r="M70" s="57"><f t="shared" si="23"/><v>0</v></c><c r="N70" s="57"><f t="shared" si="23"/><v>0</v></c><c r="O70" s="57"><f t="shared" si="23"/><v>0</v></c><c r="P70" s="57"><f t="shared" si="23"/><v>0</v></c><c r="Q70" s="57"><f t="shared" si="23"/><v>0</v></c><c r="R70" s="57"><f t="shared" si="23"/><v>0</v></c><c r="S70" s="57"><f t="shared" si="23"/><v>1096558.1867663581</v></c><c r="T70" s="75"><f>S70-AC61+AB61</f><v>746781.67376635817</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78" t="str"><f>Translation!A122</f><v>Energy product</v></c><c r="C73" s="286" t="str"><f>Translation!A142</f><v>PRIMARY ENERGY SOURCE</v></c><c r="D73" s="287"/><c r="E73" s="287"/><c r="F73" s="287"/><c r="G73" s="287"/><c r="H73" s="287"/><c r="I73" s="287"/><c r="J73" s="287"/><c r="K73" s="287"/><c r="L73" s="287"/><c r="M73" s="287"/><c r="N73" s="287"/><c r="O73" s="287"/><c r="P73" s="287"/><c r="Q73" s="287"/><c r="R73" s="287"/><c r="S73" s="287"/><c r="T73" s="287"/><c r="U73" s="287"/><c r="V73" s="287"/><c r="W73" s="287"/><c r="X73" s="287"/><c r="Y73" s="288"/></row><row r="74" spans="2:32" s="55" customFormat="1" ht="15" customHeight="1"><c r="B74" s="279"/><c r="C74" s="286" t="str"><f>Translation!A98</f><v>Fossil fuels</v></c><c r="D74" s="287"/><c r="E74" s="287"/><c r="F74" s="287"/><c r="G74" s="287"/><c r="H74" s="287"/><c r="I74" s="288"/><c r="J74" s="286" t="str"><f>Translation!A107</f><v>Renewable energy sources</v></c><c r="K74" s="287"/><c r="L74" s="287"/><c r="M74" s="287"/><c r="N74" s="287"/><c r="O74" s="287"/><c r="P74" s="287"/><c r="Q74" s="287"/><c r="R74" s="288"/><c r="S74" s="275" t="str"><f>Translation!A123</f><v>Electricity</v></c><c r="T74" s="276"/><c r="U74" s="276"/><c r="V74" s="277"/><c r="W74" s="74" t="str"><f>Translation!A124</f><v>Heat</v></c><c r="X74" s="74" t="str"><f>Translation!A125</f><v>Cold</v></c><c r="Y74" s="281" t="str"><f>Translation!A118</f><v>TOTAL</v></c></row><row r="75" spans="2:32" s="55" customFormat="1" ht="46.5" customHeight="1"><c r="B75" s="280"/><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2"/></row><row r="76" spans="2:32" s="55" customFormat="1" ht="15.75"><c r="B76" s="114" t="str"><f>Translation!A118</f><v>TOTAL</v></c><c r="C76" s="201"><f t="shared" ref="C76:H76" si="24">G48+C70</f><v>1262871.7020383582</v></c><c r="D76" s="201"><f t="shared" si="24"/><v>227474.48472800001</v></c><c r="E76" s="201"><f t="shared" si="24"/><v>275251</v></c><c r="F76" s="201"><f t="shared" si="24"/><v>47787.495534717265</v></c><c r="G76" s="201"><f t="shared" si="24"/><v>0</v></c><c r="H76" s="201"><f t="shared" si="24"/><v>0</v></c><c r="I76" s="57"><f>SUM(C76:H76)</f><v>1813384.6823010754</v></c><c r="J76" s="201"><f t="shared" ref="J76:O76" si="25">N48+J70</f><v>0</v></c><c r="K76" s="201"><f t="shared" si="25"/><v>0</v></c><c r="L76" s="201"><f t="shared" si="25"/><v>26818.672258281735</v></c><c r="M76" s="201"><f t="shared" si="25"/><v>510.75695723684208</v></c><c r="N76" s="201"><f t="shared" si="25"/><v>0</v></c><c r="O76" s="201"><f t="shared" si="25"/><v>22960.208302979874</v></c><c r="P76" s="201"><f>P70</f><v>0</v></c><c r="Q76" s="201"><f>Q70</f><v>0</v></c><c r="R76" s="57"><f>SUM(J76:Q76)</f><v>50289.63751849845</v></c><c r="S76" s="201"><f>Y61</f><v>0</v></c><c r="T76" s="201"><f>Z61</f><v>0</v></c><c r="U76" s="201"><f>$C$49+$C$50+$C$51</f><v>0</v></c><c r="V76" s="57"><f>S76-T76-U76</f><v>0</v></c><c r="W76" s="201"><f>$D$49+$D$50+$D$51</f><v>0</v></c><c r="X76" s="201"><f>$E$49+$E$50+$E$51</f><v>0</v></c><c r="Y76" s="57"><f>I76+R76+V76-W76-X76</f><v>1863674.3198195738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1" t="str"><f>Translation!A120</f><v>PRODUCTION SECTOR</v></c><c r="C79" s="300" t="str"><f>Translation!A142</f><v>PRIMARY ENERGY SOURCE</v></c><c r="D79" s="301"/><c r="E79" s="301"/><c r="F79" s="301"/><c r="G79" s="301"/><c r="H79" s="301"/><c r="I79" s="301"/><c r="J79" s="301"/><c r="K79" s="301"/><c r="L79" s="301"/><c r="M79" s="301"/><c r="N79" s="301"/><c r="O79" s="301"/><c r="P79" s="301"/><c r="Q79" s="301"/><c r="R79" s="301"/><c r="S79" s="302"/><c r="T79" s="72"/><c r="V79" s="61"/><c r="W79" s="61"/><c r="X79" s="72"/><c r="Y79" s="61"/><c r="Z79" s="61"/><c r="AA79" s="61"/><c r="AB79" s="61"/><c r="AC79" s="61"/><c r="AD79" s="61"/><c r="AE79" s="61"/><c r="AF79" s="61"/></row><row r="80" spans="2:32" s="55" customFormat="1" ht="15" customHeight="1"><c r="B80" s="282"/><c r="C80" s="300" t="str"><f>Translation!A98</f><v>Fossil fuels</v></c><c r="D80" s="301"/><c r="E80" s="301"/><c r="F80" s="301"/><c r="G80" s="301"/><c r="H80" s="301"/><c r="I80" s="302"/><c r="J80" s="300" t="str"><f>Translation!A107</f><v>Renewable energy sources</v></c><c r="K80" s="301"/><c r="L80" s="301"/><c r="M80" s="301"/><c r="N80" s="301"/><c r="O80" s="301"/><c r="P80" s="301"/><c r="Q80" s="301"/><c r="R80" s="302"/><c r="S80" s="299"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299"/><c r="T81" s="72"/><c r="V81" s="61"/><c r="W81" s="61"/><c r="X81" s="72"/><c r="Y81" s="61"/><c r="Z81" s="61"/><c r="AA81" s="61"/><c r="AB81" s="61"/><c r="AC81" s="61"/><c r="AD81" s="61"/><c r="AE81" s="61"/><c r="AF81" s="61"/></row><row r="82" spans="1:32" s="55" customFormat="1" ht="15.75"><c r="B82" s="199" t="str"><f>Translation!A123</f><v>Electricity</v></c><c r="C82" s="203"><f t="shared" ref="C82:P82" si="26">IF(C67&gt;0,C58/C67,"-")</f><v>0.32023122000000004</v></c><c r="D82" s="203"><f t="shared" si="26"/><v>0.25</v></c><c r="E82" s="203" t="str"><f t="shared" si="26"/><v>-</v></c><c r="F82" s="203" t="str"><f t="shared" si="26"/><v>-</v></c><c r="G82" s="203" t="str"><f t="shared" si="26"/><v>-</v></c><c r="H82" s="203" t="str"><f t="shared" si="26"/><v>-</v></c><c r="I82" s="71"><f t="shared" si="26"/><v>0.31897670111921406</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0.31897670111921406</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3" t="str"><f>Translation!A56</f><v>DEMAND SECTOR</v></c><c r="C88" s="268" t="str"><f>Translation!A93</f><v>ENERGY FOR FINAL USE</v></c><c r="D88" s="269"/><c r="E88" s="269"/><c r="F88" s="269"/><c r="G88" s="269"/><c r="H88" s="269"/><c r="I88" s="269"/><c r="J88" s="269"/><c r="K88" s="269"/><c r="L88" s="269"/><c r="M88" s="269"/><c r="N88" s="269"/><c r="O88" s="269"/><c r="P88" s="269"/><c r="Q88" s="269"/><c r="R88" s="269"/><c r="S88" s="269"/><c r="T88" s="269"/><c r="U88" s="270"/></row><row r="89" spans="1:32" s="55" customFormat="1" ht="18" customHeight="1"><c r="B89" s="274"/><c r="C89" s="268" t="str"><f>Translation!A94</f><v>Centralized energy services</v></c><c r="D89" s="269"/><c r="E89" s="269"/><c r="F89" s="270"/><c r="G89" s="268" t="str"><f>Translation!A98</f><v>Fossil fuels</v></c><c r="H89" s="269"/><c r="I89" s="269"/><c r="J89" s="269"/><c r="K89" s="269"/><c r="L89" s="269"/><c r="M89" s="270"/><c r="N89" s="268" t="str"><f>Translation!A105</f><v>Renewable energy sources (excluding electricity and heat sold to public networks)</v></c><c r="O89" s="269"/><c r="P89" s="269"/><c r="Q89" s="269"/><c r="R89" s="269"/><c r="S89" s="269"/><c r="T89" s="270"/><c r="U89" s="271"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2"/></row><row r="91" spans="1:32" s="21" customFormat="1" ht="15.75"><c r="A91" s="22"/><c r="B91" s="70" t="str"><f>Translation!A59</f><v>RESIDENTIAL</v></c><c r="C91" s="68"><f>SUM(C92:C100)</f><v>141347.31427867641</v></c><c r="D91" s="68"><f>SUM(D92:D100)</f><v>0</v></c><c r="E91" s="68"><f>SUM(E92:E100)</f><v>0</v></c><c r="F91" s="68"><f t="shared" ref="F91:F122" si="30">SUM(C91:E91)</f><v>141347.31427867641</v></c><c r="G91" s="68"><f t="shared" ref="G91:L91" si="31">SUM(G92:G100)</f><v>18748.447303618421</v></c><c r="H91" s="68"><f t="shared" si="31"/><v>0</v></c><c r="I91" s="68"><f t="shared" si="31"/><v>0</v></c><c r="J91" s="68"><f t="shared" si="31"/><v>2309.4446447368418</v></c><c r="K91" s="68"><f t="shared" si="31"/><v>0</v></c><c r="L91" s="68"><f t="shared" si="31"/><v>0</v></c><c r="M91" s="68"><f t="shared" ref="M91:M122" si="32">SUM(G91:L91)</f><v>21057.891948355264</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162405.20622703168</v></c></row><row r="92" spans="1:32" s="21" customFormat="1" ht="15.75"><c r="A92" s="22"/><c r="B92" s="197" t="str"><f>Translation!A60</f><v>Hot water</v></c><c r="C92" s="200"><f t="shared" ref="C92:C100" si="36">IF(C$48&gt;0, ($S$128+$V$137)/C$48,0)*C18</f><v>3593.5757867460106</v></c><c r="D92" s="200"><f t="shared" ref="D92:D100" si="37">IF(D$48&gt;0, ($S$129)/D$48,0)*D18</f><v>0</v></c><c r="E92" s="200"><f t="shared" ref="E92:E100" si="38">IF(E$48&gt;0, ($S$130)/E$48,0)*E18</f><v>0</v></c><c r="F92" s="68"><f t="shared" si="30"/><v>3593.5757867460106</v></c><c r="G92" s="200"><f>'CO2 factors'!C$7*G18</f><v>1079.92355625</v></c><c r="H92" s="200"><f>'CO2 factors'!D$7*H18</f><v>0</v></c><c r="I92" s="200"><f>'CO2 factors'!E$7*I18</f><v>0</v></c><c r="J92" s="200"><f>'CO2 factors'!F$7*J18</f><v>66.354749999999996</v></c><c r="K92" s="200"><f>'CO2 factors'!G$7*K18</f><v>0</v></c><c r="L92" s="200"><f>'CO2 factors'!H$7*L18</f><v>0</v></c><c r="M92" s="68"><f t="shared" si="32"/><v>1146.27830625</v></c><c r="N92" s="200"><f>'CO2 factors'!J$7*N18</f><v>0</v></c><c r="O92" s="200"><f>'CO2 factors'!K$7*O18</f><v>0</v></c><c r="P92" s="200"><f>'CO2 factors'!L$7*P18</f><v>0</v></c><c r="Q92" s="200"><f>'CO2 factors'!M$7*Q18</f><v>0</v></c><c r="R92" s="200"><f>'CO2 factors'!N$7*R18</f><v>0</v></c><c r="S92" s="200"><f>'CO2 factors'!O$7*S18</f><v>0</v></c><c r="T92" s="68"><f t="shared" si="34"/><v>0</v></c><c r="U92" s="68"><f t="shared" si="35"/><v>4739.8540929960109</v></c></row><row r="93" spans="1:32" s="21" customFormat="1" ht="15.75"><c r="A93" s="22"/><c r="B93" s="197" t="str"><f>Translation!A61</f><v>Heating and cooling</v></c><c r="C93" s="200"><f t="shared" si="36"/><v>86245.818881904255</v></c><c r="D93" s="200"><f t="shared" si="37"/><v>0</v></c><c r="E93" s="200"><f t="shared" si="38"/><v>0</v></c><c r="F93" s="68"><f t="shared" si="30"/><v>86245.818881904255</v></c><c r="G93" s="200"><f>'CO2 factors'!C$7*G19</f><v>17668.523747368421</v></c><c r="H93" s="200"><f>'CO2 factors'!D$7*H19</f><v>0</v></c><c r="I93" s="200"><f>'CO2 factors'!E$7*I19</f><v>0</v></c><c r="J93" s="200"><f>'CO2 factors'!F$7*J19</f><v>1788.085894736842</v></c><c r="K93" s="200"><f>'CO2 factors'!G$7*K19</f><v>0</v></c><c r="L93" s="200"><f>'CO2 factors'!H$7*L19</f><v>0</v></c><c r="M93" s="68"><f t="shared" si="32"/><v>19456.609642105264</v></c><c r="N93" s="200"><f>'CO2 factors'!J$7*N19</f><v>0</v></c><c r="O93" s="200"><f>'CO2 factors'!K$7*O19</f><v>0</v></c><c r="P93" s="200"><f>'CO2 factors'!L$7*P19</f><v>0</v></c><c r="Q93" s="200"><f>'CO2 factors'!M$7*Q19</f><v>0</v></c><c r="R93" s="200"><f>'CO2 factors'!N$7*R19</f><v>0</v></c><c r="S93" s="200"><f>'CO2 factors'!O$7*S19</f><v>0</v></c><c r="T93" s="68"><f t="shared" si="34"/><v>0</v></c><c r="U93" s="68"><f t="shared" si="35"/><v>105702.42852400952</v></c></row><row r="94" spans="1:32" s="21" customFormat="1" ht="15.75"><c r="A94" s="22"/><c r="B94" s="197" t="str"><f>Translation!A62</f><v>Lighting</v></c><c r="C94" s="200"><f t="shared" si="36"/><v>4791.4343823280142</v></c><c r="D94" s="200"><f t="shared" si="37"/><v>0</v></c><c r="E94" s="200"><f t="shared" si="38"/><v>0</v></c><c r="F94" s="68"><f t="shared" si="30"/><v>4791.4343823280142</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4791.4343823280142</v></c></row><row r="95" spans="1:32" s="21" customFormat="1" ht="15.75"><c r="A95" s="22"/><c r="B95" s="197" t="str"><f>Translation!A63</f><v>Cooking</v></c><c r="C95" s="200"><f t="shared" si="36"/><v>3593.5757867460106</v></c><c r="D95" s="200"><f t="shared" si="37"/><v>0</v></c><c r="E95" s="200"><f t="shared" si="38"/><v>0</v></c><c r="F95" s="68"><f t="shared" si="30"/><v>3593.5757867460106</v></c><c r="G95" s="200"><f>'CO2 factors'!C$7*G21</f><v>0</v></c><c r="H95" s="200"><f>'CO2 factors'!D$7*H21</f><v>0</v></c><c r="I95" s="200"><f>'CO2 factors'!E$7*I21</f><v>0</v></c><c r="J95" s="200"><f>'CO2 factors'!F$7*J21</f><v>455.00399999999996</v></c><c r="K95" s="200"><f>'CO2 factors'!G$7*K21</f><v>0</v></c><c r="L95" s="200"><f>'CO2 factors'!H$7*L21</f><v>0</v></c><c r="M95" s="68"><f t="shared" si="32"/><v>455.00399999999996</v></c><c r="N95" s="200"><f>'CO2 factors'!J$7*N21</f><v>0</v></c><c r="O95" s="200"><f>'CO2 factors'!K$7*O21</f><v>0</v></c><c r="P95" s="200"><f>'CO2 factors'!L$7*P21</f><v>0</v></c><c r="Q95" s="200"><f>'CO2 factors'!M$7*Q21</f><v>0</v></c><c r="R95" s="200"><f>'CO2 factors'!N$7*R21</f><v>0</v></c><c r="S95" s="200"><f>'CO2 factors'!O$7*S21</f><v>0</v></c><c r="T95" s="68"><f t="shared" si="34"/><v>0</v></c><c r="U95" s="68"><f t="shared" si="35"/><v>4048.5797867460105</v></c></row><row r="96" spans="1:32" s="21" customFormat="1" ht="15.75"><c r="A96" s="22"/><c r="B96" s="197" t="str"><f>Translation!A64</f><v>Refrigerator and freezers</v></c><c r="C96" s="200"><f t="shared" si="36"/><v>21561.454720476064</v></c><c r="D96" s="200"><f t="shared" si="37"/><v>0</v></c><c r="E96" s="200"><f t="shared" si="38"/><v>0</v></c><c r="F96" s="68"><f t="shared" si="30"/><v>21561.454720476064</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21561.454720476064</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21561.454720476064</v></c><c r="D100" s="200"><f t="shared" si="37"/><v>0</v></c><c r="E100" s="200"><f t="shared" si="38"/><v>0</v></c><c r="F100" s="68"><f t="shared" si="30"/><v>21561.454720476064</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21561.454720476064</v></c></row><row r="101" spans="1:21" s="21" customFormat="1" ht="15.75"><c r="A101" s="22"/><c r="B101" s="70" t="str"><f>Translation!A69</f><v>PRIMARY SECTOR</v></c><c r="C101" s="68"><f>SUM(C102:C103)</f><v>908.09874999064311</v></c><c r="D101" s="68"><f>SUM(D102:D103)</f><v>0</v></c><c r="E101" s="68"><f>SUM(E102:E103)</f><v>0</v></c><c r="F101" s="68"><f t="shared" si="30"/><v>908.09874999064311</v></c><c r="G101" s="68"><f t="shared" ref="G101:L101" si="39">SUM(G102:G103)</f><v>189.38814152109779</v></c><c r="H101" s="68"><f t="shared" si="39"/><v>0</v></c><c r="I101" s="68"><f t="shared" si="39"/><v>0</v></c><c r="J101" s="68"><f t="shared" si="39"/><v>0</v></c><c r="K101" s="68"><f t="shared" si="39"/><v>0</v></c><c r="L101" s="68"><f t="shared" si="39"/><v>0</v></c><c r="M101" s="68"><f t="shared" si="32"/><v>189.38814152109779</v></c><c r="N101" s="68"><f t="shared" ref="N101:S101" si="40">SUM(N102:N103)</f><v>0</v></c><c r="O101" s="68"><f t="shared" si="40"/><v>0</v></c><c r="P101" s="68"><f t="shared" si="40"/><v>0</v></c><c r="Q101" s="68"><f t="shared" si="40"/><v>0</v></c><c r="R101" s="68"><f t="shared" si="40"/><v>0</v></c><c r="S101" s="68"><f t="shared" si="40"/><v>0</v></c><c r="T101" s="68"><f t="shared" si="34"/><v>0</v></c><c r="U101" s="68"><f t="shared" si="35"/><v>1097.4868915117409</v></c></row><row r="102" spans="1:21" s="21" customFormat="1" ht="15.75"><c r="A102" s="22"/><c r="B102" s="198" t="str"><f>Translation!A70</f><v>Agriculture, forestry and fishing</v></c><c r="C102" s="200"><f>IF(C$48&gt;0, ($S$128+$V$137)/C$48,0)*C28</f><v>908.09874999064311</v></c><c r="D102" s="200"><f>IF(D$48&gt;0, ($S$129)/D$48,0)*D28</f><v>0</v></c><c r="E102" s="200"><f>IF(E$48&gt;0, ($S$130)/E$48,0)*E28</f><v>0</v></c><c r="F102" s="68"><f t="shared" si="30"/><v>908.09874999064311</v></c><c r="G102" s="200"><f>'CO2 factors'!C$7*G28</f><v>189.38814152109779</v></c><c r="H102" s="200"><f>'CO2 factors'!D$7*H28</f><v>0</v></c><c r="I102" s="200"><f>'CO2 factors'!E$7*I28</f><v>0</v></c><c r="J102" s="200"><f>'CO2 factors'!F$7*J28</f><v>0</v></c><c r="K102" s="200"><f>'CO2 factors'!G$7*K28</f><v>0</v></c><c r="L102" s="200"><f>'CO2 factors'!H$7*L28</f><v>0</v></c><c r="M102" s="68"><f t="shared" si="32"/><v>189.38814152109779</v></c><c r="N102" s="200"><f>'CO2 factors'!J$7*N28</f><v>0</v></c><c r="O102" s="200"><f>'CO2 factors'!K$7*O28</f><v>0</v></c><c r="P102" s="200"><f>'CO2 factors'!L$7*P28</f><v>0</v></c><c r="Q102" s="200"><f>'CO2 factors'!M$7*Q28</f><v>0</v></c><c r="R102" s="200"><f>'CO2 factors'!N$7*R28</f><v>0</v></c><c r="S102" s="200"><f>'CO2 factors'!O$7*S28</f><v>0</v></c><c r="T102" s="68"><f t="shared" si="34"/><v>0</v></c><c r="U102" s="68"><f t="shared" si="35"/><v>1097.4868915117409</v></c></row><row r="103" spans="1:21" s="21" customFormat="1" ht="15.7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c r="A104" s="22"/><c r="B104" s="65" t="str"><f>Translation!A72</f><v>SECONDARY SECTOR</v></c><c r="C104" s="68"><f>SUM(C105:C107)</f><v>17451.059266271728</v></c><c r="D104" s="68"><f>SUM(D105:D107)</f><v>0</v></c><c r="E104" s="68"><f>SUM(E105:E107)</f><v>0</v></c><c r="F104" s="68"><f t="shared" si="30"/><v>17451.059266271728</v></c><c r="G104" s="68"><f t="shared" ref="G104:L104" si="41">SUM(G105:G107)</f><v>3639.4981074996404</v></c><c r="H104" s="68"><f t="shared" si="41"/><v>0</v></c><c r="I104" s="68"><f t="shared" si="41"/><v>0</v></c><c r="J104" s="68"><f t="shared" si="41"/><v>1012.3794398967478</v></c><c r="K104" s="68"><f t="shared" si="41"/><v>0</v></c><c r="L104" s="68"><f t="shared" si="41"/><v>0</v></c><c r="M104" s="68"><f t="shared" si="32"/><v>4651.8775473963879</v></c><c r="N104" s="68"><f t="shared" ref="N104:S104" si="42">SUM(N105:N107)</f><v>0</v></c><c r="O104" s="68"><f t="shared" si="42"/><v>0</v></c><c r="P104" s="68"><f t="shared" si="42"/><v>0</v></c><c r="Q104" s="68"><f t="shared" si="42"/><v>0</v></c><c r="R104" s="68"><f t="shared" si="42"/><v>0</v></c><c r="S104" s="68"><f t="shared" si="42"/><v>0</v></c><c r="T104" s="68"><f t="shared" si="34"/><v>0</v></c><c r="U104" s="68"><f t="shared" si="35"/><v>22102.936813668115</v></c></row><row r="105" spans="1:21" s="21" customFormat="1" ht="15.75"><c r="A105" s="22"/><c r="B105" s="198" t="str"><f>Translation!A73</f><v>Manufacturing</v></c><c r="C105" s="200"><f>IF(C$48&gt;0, ($S$128+$V$137)/C$48,0)*C31</f><v>16199.448741251948</v></c><c r="D105" s="200"><f>IF(D$48&gt;0, ($S$129)/D$48,0)*D31</f><v>0</v></c><c r="E105" s="200"><f>IF(E$48&gt;0, ($S$130)/E$48,0)*E31</f><v>0</v></c><c r="F105" s="68"><f t="shared" si="30"/><v>16199.448741251948</v></c><c r="G105" s="200"><f>'CO2 factors'!C$7*G31</f><v>3378.469016506856</v></c><c r="H105" s="200"><f>'CO2 factors'!D$7*H31</f><v>0</v></c><c r="I105" s="200"><f>'CO2 factors'!E$7*I31</f><v>0</v></c><c r="J105" s="200"><f>'CO2 factors'!F$7*J31</f><v>939.77039405290191</v></c><c r="K105" s="200"><f>'CO2 factors'!G$7*K31</f><v>0</v></c><c r="L105" s="200"><f>'CO2 factors'!H$7*L31</f><v>0</v></c><c r="M105" s="68"><f t="shared" si="32"/><v>4318.2394105597577</v></c><c r="N105" s="200"><f>'CO2 factors'!J$7*N31</f><v>0</v></c><c r="O105" s="200"><f>'CO2 factors'!K$7*O31</f><v>0</v></c><c r="P105" s="200"><f>'CO2 factors'!L$7*P31</f><v>0</v></c><c r="Q105" s="200"><f>'CO2 factors'!M$7*Q31</f><v>0</v></c><c r="R105" s="200"><f>'CO2 factors'!N$7*R31</f><v>0</v></c><c r="S105" s="200"><f>'CO2 factors'!O$7*S31</f><v>0</v></c><c r="T105" s="68"><f t="shared" si="34"/><v>0</v></c><c r="U105" s="68"><f t="shared" si="35"/><v>20517.688151811708</v></c></row><row r="106" spans="1:21" s="21" customFormat="1" ht="30"><c r="A106" s="22"/><c r="B106" s="198" t="str"><f>Translation!A74</f><v>Water supply, sewerage, waste management and remediation activities</v></c><c r="C106" s="200"><f>IF(C$48&gt;0, ($S$128+$V$137)/C$48,0)*C32</f><v>609.53784643276049</v></c><c r="D106" s="200"><f>IF(D$48&gt;0, ($S$129)/D$48,0)*D32</f><v>0</v></c><c r="E106" s="200"><f>IF(E$48&gt;0, ($S$130)/E$48,0)*E32</f><v>0</v></c><c r="F106" s="68"><f t="shared" si="30"/><v>609.53784643276049</v></c><c r="G106" s="200"><f>'CO2 factors'!C$7*G32</f><v>127.12190158158711</v></c><c r="H106" s="200"><f>'CO2 factors'!D$7*H32</f><v>0</v></c><c r="I106" s="200"><f>'CO2 factors'!E$7*I32</f><v>0</v></c><c r="J106" s="200"><f>'CO2 factors'!F$7*J32</f><v>35.360809573326428</v></c><c r="K106" s="200"><f>'CO2 factors'!G$7*K32</f><v>0</v></c><c r="L106" s="200"><f>'CO2 factors'!H$7*L32</f><v>0</v></c><c r="M106" s="68"><f t="shared" si="32"/><v>162.48271115491355</v></c><c r="N106" s="200"><f>'CO2 factors'!J$7*N32</f><v>0</v></c><c r="O106" s="200"><f>'CO2 factors'!K$7*O32</f><v>0</v></c><c r="P106" s="200"><f>'CO2 factors'!L$7*P32</f><v>0</v></c><c r="Q106" s="200"><f>'CO2 factors'!M$7*Q32</f><v>0</v></c><c r="R106" s="200"><f>'CO2 factors'!N$7*R32</f><v>0</v></c><c r="S106" s="200"><f>'CO2 factors'!O$7*S32</f><v>0</v></c><c r="T106" s="68"><f t="shared" si="34"/><v>0</v></c><c r="U106" s="68"><f t="shared" si="35"/><v>772.02055758767403</v></c></row><row r="107" spans="1:21" s="21" customFormat="1" ht="15.75"><c r="A107" s="22"/><c r="B107" s="198" t="str"><f>Translation!A75</f><v>Construction</v></c><c r="C107" s="200"><f>IF(C$48&gt;0, ($S$128+$V$137)/C$48,0)*C33</f><v>642.07267858701732</v></c><c r="D107" s="200"><f>IF(D$48&gt;0, ($S$129)/D$48,0)*D33</f><v>0</v></c><c r="E107" s="200"><f>IF(E$48&gt;0, ($S$130)/E$48,0)*E33</f><v>0</v></c><c r="F107" s="68"><f t="shared" si="30"/><v>642.07267858701732</v></c><c r="G107" s="80"><f>'CO2 factors'!C$7*G33</f><v>133.90718941119709</v></c><c r="H107" s="80"><f>'CO2 factors'!D$7*H33</f><v>0</v></c><c r="I107" s="80"><f>'CO2 factors'!E$7*I33</f><v>0</v></c><c r="J107" s="80"><f>'CO2 factors'!F$7*J33</f><v>37.248236270519577</v></c><c r="K107" s="80"><f>'CO2 factors'!G$7*K33</f><v>0</v></c><c r="L107" s="80"><f>'CO2 factors'!H$7*L33</f><v>0</v></c><c r="M107" s="68"><f t="shared" si="32"/><v>171.15542568171668</v></c><c r="N107" s="80"><f>'CO2 factors'!J$7*N33</f><v>0</v></c><c r="O107" s="80"><f>'CO2 factors'!K$7*O33</f><v>0</v></c><c r="P107" s="80"><f>'CO2 factors'!L$7*P33</f><v>0</v></c><c r="Q107" s="80"><f>'CO2 factors'!M$7*Q33</f><v>0</v></c><c r="R107" s="80"><f>'CO2 factors'!N$7*R33</f><v>0</v></c><c r="S107" s="80"><f>'CO2 factors'!O$7*S33</f><v>0</v></c><c r="T107" s="68"><f t="shared" si="34"/><v>0</v></c><c r="U107" s="68"><f t="shared" si="35"/><v>813.228104268734</v></c></row><row r="108" spans="1:21" s="21" customFormat="1" ht="15.75"><c r="A108" s="22"/><c r="B108" s="65" t="str"><f>Translation!A76</f><v>TERTIARY SECTOR</v></c><c r="C108" s="68"><f>SUM(C109:C116)</f><v>145969.77955855115</v></c><c r="D108" s="68"><f>SUM(D109:D116)</f><v>0</v></c><c r="E108" s="68"><f>SUM(E109:E116)</f><v>0</v></c><c r="F108" s="68"><f t="shared" si="30"/><v>145969.77955855115</v></c><c r="G108" s="68"><f t="shared" ref="G108:L108" si="43">SUM(G109:G116)</f><v>29289.045447360841</v></c><c r="H108" s="68"><f t="shared" si="43"/><v>0</v></c><c r="I108" s="68"><f t="shared" si="43"/><v>0</v></c><c r="J108" s="68"><f t="shared" si="43"/><v>8147.1748436985545</v></c><c r="K108" s="68"><f t="shared" si="43"/><v>0</v></c><c r="L108" s="68"><f t="shared" si="43"/><v>0</v></c><c r="M108" s="68"><f t="shared" si="32"/><v>37436.220291059391</v></c><c r="N108" s="68"><f t="shared" ref="N108:S108" si="44">SUM(N109:N116)</f><v>0</v></c><c r="O108" s="68"><f t="shared" si="44"/><v>0</v></c><c r="P108" s="68"><f t="shared" si="44"/><v>0</v></c><c r="Q108" s="68"><f t="shared" si="44"/><v>0</v></c><c r="R108" s="68"><f t="shared" si="44"/><v>0</v></c><c r="S108" s="68"><f t="shared" si="44"/><v>0</v></c><c r="T108" s="68"><f t="shared" si="34"/><v>0</v></c><c r="U108" s="68"><f t="shared" si="35"/><v>183405.99984961055</v></c></row><row r="109" spans="1:21" s="21" customFormat="1" ht="30"><c r="A109" s="22"/><c r="B109" s="198" t="str"><f>Translation!A77</f><v xml:space="preserve">Wholesale and retail trade; repair of motor vehicles and motorcycles </v></c><c r="C109" s="200"><f t="shared" ref="C109:C116" si="45">IF(C$48&gt;0, ($S$128+$V$137)/C$48,0)*C35</f><v>46171.082836910289</v></c><c r="D109" s="200"><f t="shared" ref="D109:D116" si="46">IF(D$48&gt;0, ($S$129)/D$48,0)*D35</f><v>0</v></c><c r="E109" s="200"><f t="shared" ref="E109:E116" si="47">IF(E$48&gt;0, ($S$130)/E$48,0)*E35</f><v>0</v></c><c r="F109" s="68"><f t="shared" si="30"/><v>46171.082836910289</v></c><c r="G109" s="200"><f>'CO2 factors'!C$7*G35</f><v>9629.1901850863596</v></c><c r="H109" s="200"><f>'CO2 factors'!D$7*H35</f><v>0</v></c><c r="I109" s="200"><f>'CO2 factors'!E$7*I35</f><v>0</v></c><c r="J109" s="200"><f>'CO2 factors'!F$7*J35</f><v>2678.4995838160239</v></c><c r="K109" s="200"><f>'CO2 factors'!G$7*K35</f><v>0</v></c><c r="L109" s="200"><f>'CO2 factors'!H$7*L35</f><v>0</v></c><c r="M109" s="68"><f t="shared" si="32"/><v>12307.689768902383</v></c><c r="N109" s="200"><f>'CO2 factors'!J$7*N35</f><v>0</v></c><c r="O109" s="200"><f>'CO2 factors'!K$7*O35</f><v>0</v></c><c r="P109" s="200"><f>'CO2 factors'!L$7*P35</f><v>0</v></c><c r="Q109" s="200"><f>'CO2 factors'!M$7*Q35</f><v>0</v></c><c r="R109" s="200"><f>'CO2 factors'!N$7*R35</f><v>0</v></c><c r="S109" s="200"><f>'CO2 factors'!O$7*S35</f><v>0</v></c><c r="T109" s="68"><f t="shared" si="34"/><v>0</v></c><c r="U109" s="68"><f t="shared" si="35"/><v>58478.772605812672</v></c></row><row r="110" spans="1:21" s="21" customFormat="1" ht="15.75"><c r="A110" s="22"/><c r="B110" s="198" t="str"><f>Translation!A78</f><v>Accomodation and food service activities</v></c><c r="C110" s="200"><f t="shared" si="45"/><v>5563.4197423867145</v></c><c r="D110" s="200"><f t="shared" si="46"/><v>0</v></c><c r="E110" s="200"><f t="shared" si="47"/><v>0</v></c><c r="F110" s="68"><f t="shared" si="30"/><v>5563.4197423867145</v></c><c r="G110" s="200"><f>'CO2 factors'!C$7*G36</f><v>1160.2765949443944</v></c><c r="H110" s="200"><f>'CO2 factors'!D$7*H36</f><v>0</v></c><c r="I110" s="200"><f>'CO2 factors'!E$7*I36</f><v>0</v></c><c r="J110" s="200"><f>'CO2 factors'!F$7*J36</f><v>322.74784451587414</v></c><c r="K110" s="200"><f>'CO2 factors'!G$7*K36</f><v>0</v></c><c r="L110" s="200"><f>'CO2 factors'!H$7*L36</f><v>0</v></c><c r="M110" s="68"><f t="shared" si="32"/><v>1483.0244394602687</v></c><c r="N110" s="200"><f>'CO2 factors'!J$7*N36</f><v>0</v></c><c r="O110" s="200"><f>'CO2 factors'!K$7*O36</f><v>0</v></c><c r="P110" s="200"><f>'CO2 factors'!L$7*P36</f><v>0</v></c><c r="Q110" s="200"><f>'CO2 factors'!M$7*Q36</f><v>0</v></c><c r="R110" s="200"><f>'CO2 factors'!N$7*R36</f><v>0</v></c><c r="S110" s="200"><f>'CO2 factors'!O$7*S36</f><v>0</v></c><c r="T110" s="68"><f t="shared" si="34"/><v>0</v></c><c r="U110" s="68"><f t="shared" si="35"/><v>7046.4441818469832</v></c></row><row r="111" spans="1:21" s="21" customFormat="1" ht="15.75"><c r="A111" s="22"/><c r="B111" s="198" t="str"><f>Translation!A79</f><v>General public administration and social security</v></c><c r="C111" s="200"><f t="shared" si="45"/><v>10940.057053993609</v></c><c r="D111" s="200"><f t="shared" si="46"/><v>0</v></c><c r="E111" s="200"><f t="shared" si="47"/><v>0</v></c><c r="F111" s="68"><f t="shared" si="30"/><v>10940.057053993609</v></c><c r="G111" s="200"><f>'CO2 factors'!C$7*G37</f><v>2281.5988609300189</v></c><c r="H111" s="200"><f>'CO2 factors'!D$7*H37</f><v>0</v></c><c r="I111" s="200"><f>'CO2 factors'!E$7*I37</f><v>0</v></c><c r="J111" s="200"><f>'CO2 factors'!F$7*J37</f><v>634.65997471950038</v></c><c r="K111" s="200"><f>'CO2 factors'!G$7*K37</f><v>0</v></c><c r="L111" s="200"><f>'CO2 factors'!H$7*L37</f><v>0</v></c><c r="M111" s="68"><f t="shared" si="32"/><v>2916.2588356495194</v></c><c r="N111" s="200"><f>'CO2 factors'!J$7*N37</f><v>0</v></c><c r="O111" s="200"><f>'CO2 factors'!K$7*O37</f><v>0</v></c><c r="P111" s="200"><f>'CO2 factors'!L$7*P37</f><v>0</v></c><c r="Q111" s="200"><f>'CO2 factors'!M$7*Q37</f><v>0</v></c><c r="R111" s="200"><f>'CO2 factors'!N$7*R37</f><v>0</v></c><c r="S111" s="200"><f>'CO2 factors'!O$7*S37</f><v>0</v></c><c r="T111" s="68"><f t="shared" si="34"/><v>0</v></c><c r="U111" s="68"><f t="shared" si="35"/><v>13856.315889643129</v></c></row><row r="112" spans="1:21" s="21" customFormat="1" ht="15.75"><c r="A112" s="22"/><c r="B112" s="198" t="str"><f>Translation!A80</f><v>Defense, justice, police and fire departments</v></c><c r="C112" s="200"><f t="shared" si="45"/><v>347.03496022396638</v></c><c r="D112" s="200"><f t="shared" si="46"/><v>0</v></c><c r="E112" s="200"><f t="shared" si="47"/><v>0</v></c><c r="F112" s="68"><f t="shared" si="30"/><v>347.03496022396638</v></c><c r="G112" s="200"><f>'CO2 factors'!C$7*G38</f><v>72.375725834158771</v></c><c r="H112" s="200"><f>'CO2 factors'!D$7*H38</f><v>0</v></c><c r="I112" s="200"><f>'CO2 factors'!E$7*I38</f><v>0</v></c><c r="J112" s="200"><f>'CO2 factors'!F$7*J38</f><v>20.132362929690988</v></c><c r="K112" s="200"><f>'CO2 factors'!G$7*K38</f><v>0</v></c><c r="L112" s="200"><f>'CO2 factors'!H$7*L38</f><v>0</v></c><c r="M112" s="68"><f t="shared" si="32"/><v>92.508088763849756</v></c><c r="N112" s="200"><f>'CO2 factors'!J$7*N38</f><v>0</v></c><c r="O112" s="200"><f>'CO2 factors'!K$7*O38</f><v>0</v></c><c r="P112" s="200"><f>'CO2 factors'!L$7*P38</f><v>0</v></c><c r="Q112" s="200"><f>'CO2 factors'!M$7*Q38</f><v>0</v></c><c r="R112" s="200"><f>'CO2 factors'!N$7*R38</f><v>0</v></c><c r="S112" s="200"><f>'CO2 factors'!O$7*S38</f><v>0</v></c><c r="T112" s="68"><f t="shared" si="34"/><v>0</v></c><c r="U112" s="68"><f t="shared" si="35"/><v>439.54304898781612</v></c></row><row r="113" spans="1:31" s="21" customFormat="1" ht="15.75"><c r="A113" s="22"/><c r="B113" s="198" t="str"><f>Translation!A81</f><v>Education</v></c><c r="C113" s="200"><f t="shared" si="45"/><v>18445.175888230355</v></c><c r="D113" s="200"><f t="shared" si="46"/><v>0</v></c><c r="E113" s="200"><f t="shared" si="47"/><v>0</v></c><c r="F113" s="68"><f t="shared" si="30"/><v>18445.175888230355</v></c><c r="G113" s="200"><f>'CO2 factors'!C$7*G39</f><v>3846.8256690560415</v></c><c r="H113" s="200"><f>'CO2 factors'!D$7*H39</f><v>0</v></c><c r="I113" s="200"><f>'CO2 factors'!E$7*I39</f><v>0</v></c><c r="J113" s="200"><f>'CO2 factors'!F$7*J39</f><v>1070.050622692836</v></c><c r="K113" s="200"><f>'CO2 factors'!G$7*K39</f><v>0</v></c><c r="L113" s="200"><f>'CO2 factors'!H$7*L39</f><v>0</v></c><c r="M113" s="68"><f t="shared" si="32"/><v>4916.8762917488775</v></c><c r="N113" s="200"><f>'CO2 factors'!J$7*N39</f><v>0</v></c><c r="O113" s="200"><f>'CO2 factors'!K$7*O39</f><v>0</v></c><c r="P113" s="200"><f>'CO2 factors'!L$7*P39</f><v>0</v></c><c r="Q113" s="200"><f>'CO2 factors'!M$7*Q39</f><v>0</v></c><c r="R113" s="200"><f>'CO2 factors'!N$7*R39</f><v>0</v></c><c r="S113" s="200"><f>'CO2 factors'!O$7*S39</f><v>0</v></c><c r="T113" s="68"><f t="shared" si="34"/><v>0</v></c><c r="U113" s="68"><f t="shared" si="35"/><v>23362.052179979233</v></c></row><row r="114" spans="1:31" s="21" customFormat="1" ht="15.75"><c r="A114" s="22"/><c r="B114" s="198" t="str"><f>Translation!A82</f><v>Human health and social work activities</v></c><c r="C114" s="200"><f t="shared" si="45"/><v>12276.62289017094</v></c><c r="D114" s="200"><f t="shared" si="46"/><v>0</v></c><c r="E114" s="200"><f t="shared" si="47"/><v>0</v></c><c r="F114" s="68"><f t="shared" si="30"/><v>12276.62289017094</v></c><c r="G114" s="200"><f>'CO2 factors'!C$7*G40</f><v>2560.3457700484655</v></c><c r="H114" s="200"><f>'CO2 factors'!D$7*H40</f><v>0</v></c><c r="I114" s="200"><f>'CO2 factors'!E$7*I40</f><v>0</v></c><c r="J114" s="200"><f>'CO2 factors'!F$7*J40</f><v>712.19748989083109</v></c><c r="K114" s="200"><f>'CO2 factors'!G$7*K40</f><v>0</v></c><c r="L114" s="200"><f>'CO2 factors'!H$7*L40</f><v>0</v></c><c r="M114" s="68"><f t="shared" si="32"/><v>3272.5432599392966</v></c><c r="N114" s="200"><f>'CO2 factors'!J$7*N40</f><v>0</v></c><c r="O114" s="200"><f>'CO2 factors'!K$7*O40</f><v>0</v></c><c r="P114" s="200"><f>'CO2 factors'!L$7*P40</f><v>0</v></c><c r="Q114" s="200"><f>'CO2 factors'!M$7*Q40</f><v>0</v></c><c r="R114" s="200"><f>'CO2 factors'!N$7*R40</f><v>0</v></c><c r="S114" s="200"><f>'CO2 factors'!O$7*S40</f><v>0</v></c><c r="T114" s="68"><f t="shared" si="34"/><v>0</v></c><c r="U114" s="68"><f t="shared" si="35"/><v>15549.166150110237</v></c></row><row r="115" spans="1:31" s="21" customFormat="1" ht="15.75"><c r="A115" s="22"/><c r="B115" s="198" t="str"><f>Translation!A83</f><v>Other services</v></c><c r="C115" s="200"><f t="shared" si="45"/><v>46694.890385172381</v></c><c r="D115" s="200"><f t="shared" si="46"/><v>0</v></c><c r="E115" s="200"><f t="shared" si="47"/><v>0</v></c><c r="F115" s="68"><f t="shared" si="30"/><v>46694.890385172381</v></c><c r="G115" s="200"><f>'CO2 factors'!C$7*G41</f><v>9738.4326414614006</v></c><c r="H115" s="200"><f>'CO2 factors'!D$7*H41</f><v>0</v></c><c r="I115" s="200"><f>'CO2 factors'!E$7*I41</f><v>0</v></c><c r="J115" s="200"><f>'CO2 factors'!F$7*J41</f><v>2708.8869651337977</v></c><c r="K115" s="200"><f>'CO2 factors'!G$7*K41</f><v>0</v></c><c r="L115" s="200"><f>'CO2 factors'!H$7*L41</f><v>0</v></c><c r="M115" s="68"><f t="shared" si="32"/><v>12447.319606595198</v></c><c r="N115" s="200"><f>'CO2 factors'!J$7*N41</f><v>0</v></c><c r="O115" s="200"><f>'CO2 factors'!K$7*O41</f><v>0</v></c><c r="P115" s="200"><f>'CO2 factors'!L$7*P41</f><v>0</v></c><c r="Q115" s="200"><f>'CO2 factors'!M$7*Q41</f><v>0</v></c><c r="R115" s="200"><f>'CO2 factors'!N$7*R41</f><v>0</v></c><c r="S115" s="200"><f>'CO2 factors'!O$7*S41</f><v>0</v></c><c r="T115" s="68"><f t="shared" si="34"/><v>0</v></c><c r="U115" s="68"><f t="shared" si="35"/><v>59142.209991767581</v></c></row><row r="116" spans="1:31" s="21" customFormat="1" ht="15.75"><c r="A116" s="22"/><c r="B116" s="198" t="str"><f>Translation!A84</f><v>Public lighting</v></c><c r="C116" s="200"><f t="shared" si="45"/><v>5531.4958014629201</v></c><c r="D116" s="200"><f t="shared" si="46"/><v>0</v></c><c r="E116" s="200"><f t="shared" si="47"/><v>0</v></c><c r="F116" s="68"><f t="shared" si="30"/><v>5531.4958014629201</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5531.4958014629201</v></c></row><row r="117" spans="1:31" s="21" customFormat="1" ht="15.75"><c r="A117" s="22"/><c r="B117" s="65" t="str"><f>Translation!A85</f><v>TRANSPORTS</v></c><c r="C117" s="68"><f>SUM(C118:C121)</f><v>28.432437587989643</v></c><c r="D117" s="68"><f>SUM(D118:D121)</f><v>0</v></c><c r="E117" s="68"><f>SUM(E118:E121)</f><v>0</v></c><c r="F117" s="68"><f t="shared" si="30"/><v>28.432437587989643</v></c><c r="G117" s="68"><f t="shared" ref="G117:L117" si="48">SUM(G118:G121)</f><v>0</v></c><c r="H117" s="68"><f t="shared" si="48"/><v>55505.829000000012</v></c><c r="I117" s="68"><f t="shared" si="48"/><v>68537.499000000011</v></c><c r="J117" s="68"><f t="shared" si="48"/><v>0</v></c><c r="K117" s="68"><f t="shared" si="48"/><v>0</v></c><c r="L117" s="68"><f t="shared" si="48"/><v>0</v></c><c r="M117" s="68"><f t="shared" si="32"/><v>124043.32800000002</v></c><c r="N117" s="68"><f t="shared" ref="N117:S117" si="49">SUM(N118:N121)</f><v>0</v></c><c r="O117" s="68"><f t="shared" si="49"/><v>0</v></c><c r="P117" s="68"><f t="shared" si="49"/><v>0</v></c><c r="Q117" s="68"><f t="shared" si="49"/><v>0</v></c><c r="R117" s="68"><f t="shared" si="49"/><v>0</v></c><c r="S117" s="68"><f t="shared" si="49"/><v>0</v></c><c r="T117" s="68"><f t="shared" si="34"/><v>0</v></c><c r="U117" s="68"><f t="shared" si="35"/><v>124071.76043758802</v></c></row><row r="118" spans="1:31" s="21" customFormat="1" ht="30"><c r="A118" s="22"/><c r="B118" s="198" t="str"><f>Translation!A86</f><v>Passenger road transport and other passenger road transport services (public transports, taxi, tourism, school buses, etc.)</v></c><c r="C118" s="200"><f>IF(C$48&gt;0, ($S$128+$V$137)/C$48,0)*C44</f><v>28.432437587989643</v></c><c r="D118" s="200"><f>IF(D$48&gt;0, ($S$129)/D$48,0)*D44</f><v>0</v></c><c r="E118" s="200"><f>IF(E$48&gt;0, ($S$130)/E$48,0)*E44</f><v>0</v></c><c r="F118" s="68"><f t="shared" si="30"/><v>28.432437587989643</v></c><c r="G118" s="200"><f>'CO2 factors'!C$7*G44</f><v>0</v></c><c r="H118" s="200"><f>'CO2 factors'!D$7*H44</f><v>1110.1165800000001</v></c><c r="I118" s="200"><f>'CO2 factors'!E$7*I44</f><v>1370.7499800000001</v></c><c r="J118" s="200"><f>'CO2 factors'!F$7*J44</f><v>0</v></c><c r="K118" s="200"><f>'CO2 factors'!G$7*K44</f><v>0</v></c><c r="L118" s="200"><f>'CO2 factors'!H$7*L44</f><v>0</v></c><c r="M118" s="68"><f t="shared" si="32"/><v>2480.8665600000004</v></c><c r="N118" s="200"><f>'CO2 factors'!J$7*N44</f><v>0</v></c><c r="O118" s="200"><f>'CO2 factors'!K$7*O44</f><v>0</v></c><c r="P118" s="200"><f>'CO2 factors'!L$7*P44</f><v>0</v></c><c r="Q118" s="200"><f>'CO2 factors'!M$7*Q44</f><v>0</v></c><c r="R118" s="200"><f>'CO2 factors'!N$7*R44</f><v>0</v></c><c r="S118" s="200"><f>'CO2 factors'!O$7*S44</f><v>0</v></c><c r="T118" s="68"><f t="shared" si="34"/><v>0</v></c><c r="U118" s="68"><f t="shared" si="35"/><v>2509.29899758799</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17761.865280000002</v></c><c r="I119" s="200"><f>'CO2 factors'!E$7*I45</f><v>21931.999680000001</v></c><c r="J119" s="200"><f>'CO2 factors'!F$7*J45</f><v>0</v></c><c r="K119" s="200"><f>'CO2 factors'!G$7*K45</f><v>0</v></c><c r="L119" s="200"><f>'CO2 factors'!H$7*L45</f><v>0</v></c><c r="M119" s="68"><f t="shared" si="32"/><v>39693.864960000006</v></c><c r="N119" s="200"><f>'CO2 factors'!J$7*N45</f><v>0</v></c><c r="O119" s="200"><f>'CO2 factors'!K$7*O45</f><v>0</v></c><c r="P119" s="200"><f>'CO2 factors'!L$7*P45</f><v>0</v></c><c r="Q119" s="200"><f>'CO2 factors'!M$7*Q45</f><v>0</v></c><c r="R119" s="200"><f>'CO2 factors'!N$7*R45</f><v>0</v></c><c r="S119" s="200"><f>'CO2 factors'!O$7*S45</f><v>0</v></c><c r="T119" s="68"><f t="shared" si="34"/><v>0</v></c><c r="U119" s="68"><f t="shared" si="35"/><v>39693.864960000006</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36633.847140000005</v></c><c r="I121" s="200"><f>'CO2 factors'!E$7*I47</f><v>45234.749340000002</v></c><c r="J121" s="200"><f>'CO2 factors'!F$7*J47</f><v>0</v></c><c r="K121" s="200"><f>'CO2 factors'!G$7*K47</f><v>0</v></c><c r="L121" s="200"><f>'CO2 factors'!H$7*L47</f><v>0</v></c><c r="M121" s="68"><f t="shared" si="32"/><v>81868.596480000007</v></c><c r="N121" s="200"><f>'CO2 factors'!J$7*N47</f><v>0</v></c><c r="O121" s="200"><f>'CO2 factors'!K$7*O47</f><v>0</v></c><c r="P121" s="200"><f>'CO2 factors'!L$7*P47</f><v>0</v></c><c r="Q121" s="200"><f>'CO2 factors'!M$7*Q47</f><v>0</v></c><c r="R121" s="200"><f>'CO2 factors'!N$7*R47</f><v>0</v></c><c r="S121" s="200"><f>'CO2 factors'!O$7*S47</f><v>0</v></c><c r="T121" s="68"><f t="shared" si="34"/><v>0</v></c><c r="U121" s="68"><f t="shared" si="35"/><v>81868.596480000007</v></c></row><row r="122" spans="1:31" s="21" customFormat="1" ht="15.75"><c r="A122" s="22"/><c r="B122" s="77" t="str"><f>Translation!A117</f><v>TOTAL FOR INTERNAL MARKET</v></c><c r="C122" s="69"><f>C91+C101+C104+C108+C117</f><v>305704.68429107789</v></c><c r="D122" s="69"><f>D91+D101+D104+D108+D117</f><v>0</v></c><c r="E122" s="69"><f>E91+E101+E104+E108+E117</f><v>0</v></c><c r="F122" s="68"><f t="shared" si="30"/><v>305704.68429107789</v></c><c r="G122" s="69"><f t="shared" ref="G122:L122" si="50">G91+G101+G104+G108+G117</f><v>51866.379000000001</v></c><c r="H122" s="69"><f t="shared" si="50"/><v>55505.829000000012</v></c><c r="I122" s="69"><f t="shared" si="50"/><v>68537.499000000011</v></c><c r="J122" s="69"><f t="shared" si="50"/><v>11468.998928332145</v></c><c r="K122" s="69"><f t="shared" si="50"/><v>0</v></c><c r="L122" s="69"><f t="shared" si="50"/><v>0</v></c><c r="M122" s="68"><f t="shared" si="32"/><v>187378.70592833217</v></c><c r="N122" s="69"><f t="shared" ref="N122:S122" si="51">N91+N101+N104+N108+N117</f><v>0</v></c><c r="O122" s="69"><f t="shared" si="51"/><v>0</v></c><c r="P122" s="69"><f t="shared" si="51"/><v>0</v></c><c r="Q122" s="69"><f t="shared" si="51"/><v>0</v></c><c r="R122" s="69"><f t="shared" si="51"/><v>0</v></c><c r="S122" s="69"><f t="shared" si="51"/><v>0</v></c><c r="T122" s="68"><f t="shared" si="34"/><v>0</v></c><c r="U122" s="68"><f t="shared" si="35"/><v>493083.39021941007</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3" t="str"><f>Translation!A120</f><v>PRODUCTION SECTOR</v></c><c r="C125" s="268" t="str"><f>Translation!A142</f><v>PRIMARY ENERGY SOURCE</v></c><c r="D125" s="269"/><c r="E125" s="269"/><c r="F125" s="269"/><c r="G125" s="269"/><c r="H125" s="269"/><c r="I125" s="269"/><c r="J125" s="269"/><c r="K125" s="269"/><c r="L125" s="269"/><c r="M125" s="269"/><c r="N125" s="269"/><c r="O125" s="269"/><c r="P125" s="269"/><c r="Q125" s="269"/><c r="R125" s="269"/><c r="S125" s="270"/><c r="T125" s="64"/><c r="U125" s="303" t="str"><f>Translation!A122</f><v>Energy product</v></c><c r="V125" s="304"/><c r="W125" s="271" t="str"><f>Translation!A149</f><v>CO2 EMISSION FACTORS</v></c><c r="X125" s="61"/><c r="Y125" s="61"/><c r="Z125" s="61"/><c r="AA125" s="61"/><c r="AB125" s="61"/><c r="AC125" s="61"/><c r="AD125" s="61"/><c r="AE125" s="61"/></row><row r="126" spans="1:31" s="55" customFormat="1" ht="15" customHeight="1"><c r="B126" s="274"/><c r="C126" s="268" t="str"><f>Translation!A98</f><v>Fossil fuels</v></c><c r="D126" s="269"/><c r="E126" s="269"/><c r="F126" s="269"/><c r="G126" s="269"/><c r="H126" s="269"/><c r="I126" s="270"/><c r="J126" s="268" t="str"><f>Translation!A107</f><v>Renewable energy sources</v></c><c r="K126" s="269"/><c r="L126" s="269"/><c r="M126" s="269"/><c r="N126" s="269"/><c r="O126" s="269"/><c r="P126" s="269"/><c r="Q126" s="269"/><c r="R126" s="270"/><c r="S126" s="310" t="str"><f>Translation!A118</f><v>TOTAL</v></c><c r="T126" s="64"/><c r="U126" s="305"/><c r="V126" s="306"/><c r="W126" s="30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0"/><c r="T127" s="64"/><c r="U127" s="307"/><c r="V127" s="308"/><c r="W127" s="272"/><c r="X127" s="61"/><c r="Y127" s="61"/><c r="Z127" s="61"/><c r="AA127" s="61"/><c r="AB127" s="61"/><c r="AC127" s="61"/><c r="AD127" s="61"/><c r="AE127" s="61"/></row><row r="128" spans="1:31" s="55" customFormat="1" ht="15.75"><c r="B128" s="199" t="str"><f>Translation!A123</f><v>Electricity</v></c><c r="C128" s="204"><f>'CO2 factors'!C$7*C67</f><v>300474.82586870197</v></c><c r="D128" s="204"><f>'CO2 factors'!D$7*D67</f><v>5229.8584223759999</v></c><c r="E128" s="204"><f>'CO2 factors'!E$7*E67</f><v>0</v></c><c r="F128" s="204"><f>'CO2 factors'!F$7*F67</f><v>0</v></c><c r="G128" s="204"><f>'CO2 factors'!G$7*G67</f><v>0</v></c><c r="H128" s="204"><f>'CO2 factors'!H$7*H67</f><v>0</v></c><c r="I128" s="63"><f>SUM(C128:H128)</f><v>305704.68429107795</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305704.68429107795</v></c><c r="T128" s="62"/><c r="U128" s="312" t="str"><f>Translation!A123</f><v>Electricity</v></c><c r="V128" s="313"/><c r="W128" s="205"><f>IF(S58&gt;0,S128/S58,0)</f><v>0.87400003410485716</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1" t="str"><f>Translation!A124</f><v>Heat</v></c><c r="V129" s="31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1" t="str"><f>Translation!A125</f><v>Cold</v></c><c r="V130" s="311"/><c r="W130" s="205"><f>IF(S60&gt;0,S130/S60,0)</f><v>0</v></c><c r="X130" s="61"/><c r="Y130" s="61"/><c r="Z130" s="61"/><c r="AA130" s="61"/><c r="AB130" s="61"/><c r="AC130" s="61"/><c r="AD130" s="61"/><c r="AE130" s="61"/></row><row r="131" spans="1:31" s="55" customFormat="1" ht="15.75"><c r="B131" s="74" t="str"><f>Translation!A118</f><v>TOTAL</v></c><c r="C131" s="57"><f t="shared" ref="C131:S131" si="52">SUM(C128:C130)</f><v>300474.82586870197</v></c><c r="D131" s="57"><f t="shared" si="52"/><v>5229.8584223759999</v></c><c r="E131" s="57"><f t="shared" si="52"/><v>0</v></c><c r="F131" s="57"><f t="shared" si="52"/><v>0</v></c><c r="G131" s="57"><f t="shared" si="52"/><v>0</v></c><c r="H131" s="57"><f t="shared" si="52"/><v>0</v></c><c r="I131" s="57"><f t="shared" si="52"/><v>305704.68429107795</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305704.68429107795</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78" t="str"><f>Translation!A122</f><v>Energy product</v></c><c r="C134" s="286" t="str"><f>Translation!A142</f><v>PRIMARY ENERGY SOURCE</v></c><c r="D134" s="287"/><c r="E134" s="287"/><c r="F134" s="287"/><c r="G134" s="287"/><c r="H134" s="287"/><c r="I134" s="287"/><c r="J134" s="287"/><c r="K134" s="287"/><c r="L134" s="287"/><c r="M134" s="287"/><c r="N134" s="287"/><c r="O134" s="287"/><c r="P134" s="287"/><c r="Q134" s="287"/><c r="R134" s="287"/><c r="S134" s="287"/><c r="T134" s="287"/><c r="U134" s="287"/><c r="V134" s="287"/><c r="W134" s="287"/><c r="X134" s="287"/><c r="Y134" s="288"/><c r="AA134" s="271" t="str"><f>Translation!A150</f><v>CO2 emissions from ETS installations included in the calculations for final use of energy</v></c><c r="AB134" s="271" t="str"><f>Translation!A151</f><v>CO2 emissions from ETS installations included in the calculations for secondary energy production</v></c></row><row r="135" spans="1:31" s="55" customFormat="1" ht="15" customHeight="1"><c r="B135" s="279"/><c r="C135" s="286" t="str"><f>Translation!A98</f><v>Fossil fuels</v></c><c r="D135" s="287"/><c r="E135" s="287"/><c r="F135" s="287"/><c r="G135" s="287"/><c r="H135" s="287"/><c r="I135" s="288"/><c r="J135" s="286" t="str"><f>Translation!A107</f><v>Renewable energy sources</v></c><c r="K135" s="287"/><c r="L135" s="287"/><c r="M135" s="287"/><c r="N135" s="287"/><c r="O135" s="287"/><c r="P135" s="287"/><c r="Q135" s="287"/><c r="R135" s="288"/><c r="S135" s="275" t="str"><f>Translation!A123</f><v>Electricity</v></c><c r="T135" s="276"/><c r="U135" s="276"/><c r="V135" s="277"/><c r="W135" s="115" t="str"><f>Translation!A124</f><v>Heat</v></c><c r="X135" s="115" t="str"><f>Translation!A125</f><v>Cold</v></c><c r="Y135" s="249" t="str"><f>Translation!A118</f><v>TOTAL</v></c><c r="AA135" s="309"/><c r="AB135" s="309"/></row><row r="136" spans="1:31" s="55" customFormat="1" ht="90.75" customHeight="1"><c r="B136" s="280"/><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9"/><c r="AA136" s="272"/><c r="AB136" s="272"/></row><row r="137" spans="1:31" s="55" customFormat="1" ht="15.75"><c r="B137" s="114" t="str"><f>Translation!A118</f><v>TOTAL</v></c><c r="C137" s="201"><f>'CO2 factors'!C$7*C76</f><v>352341.20486870199</v></c><c r="D137" s="201"><f>'CO2 factors'!D$7*D76</f><v>60735.68742237601</v></c><c r="E137" s="201"><f>'CO2 factors'!E$7*E76</f><v>68537.498999999996</v></c><c r="F137" s="201"><f>'CO2 factors'!F$7*F76</f><v>11468.998928332143</v></c><c r="G137" s="201"><f>'CO2 factors'!G$7*G76</f><v>0</v></c><c r="H137" s="201"><f>'CO2 factors'!H$7*H76</f><v>0</v></c><c r="I137" s="57"><f>SUM(C137:H137)</f><v>493083.39021941012</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493083.39021941012</v></c><c r="AA137" s="164"/><c r="AB137" s="164"/></row><row r="138" spans="1:31" s="55" customFormat="1" ht="15"><c r="B138" s="56"/></row><row r="139" spans="1:31" ht="15.75" customHeight="1"><c r="A139" s="154"/><c r="B139" s="155"/></row><row r="140" spans="1:31" ht="18.75" customHeight="1"><c r="A140" s="153"/><c r="B140" s="250" t="str"><f>Translation!A153</f><v xml:space="preserve">Go to the next sheet dedicated to your Emission Inventory in 2020 </v></c><c r="C140" s="251"/><c r="D140" s="251"/><c r="E140" s="251"/><c r="F140" s="251"/><c r="G140" s="251"/><c r="H140" s="251"/><c r="I140" s="251"/><c r="J140" s="251"/><c r="K140" s="251"/><c r="L140" s="251"/><c r="M140" s="251"/><c r="N140" s="251"/><c r="O140" s="251"/><c r="P140" s="251"/><c r="Q140" s="251"/><c r="R140" s="25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2"/><c r="D142" s="252"/><c r="E142" s="252"/><c r="F142" s="252"/><c r="G142" s="252"/><c r="H142" s="252"/><c r="I142" s="252"/><c r="J142" s="252"/><c r="K142" s="252"/><c r="L142" s="252"/><c r="M142" s="252"/><c r="N142" s="252"/><c r="O142" s="252"/><c r="P142" s="252"/><c r="Q142" s="252"/><c r="R142" s="252"/><c r="S142" s="252"/><c r="T142" s="252"/><c r="U142" s="252"/></row><row r="143" spans="1:31" ht="12.75" customHeight="1"><c r="B143" s="252"/><c r="C143" s="252"/><c r="D143" s="252"/><c r="E143" s="252"/><c r="F143" s="252"/><c r="G143" s="252"/><c r="H143" s="252"/><c r="I143" s="252"/><c r="J143" s="252"/><c r="K143" s="252"/><c r="L143" s="252"/><c r="M143" s="252"/><c r="N143" s="252"/><c r="O143" s="252"/><c r="P143" s="252"/><c r="Q143" s="252"/><c r="R143" s="252"/><c r="S143" s="252"/><c r="T143" s="252"/><c r="U143" s="252"/></row><row r="144" spans="1:31" ht="12.75" customHeight="1"><c r="B144" s="252"/><c r="C144" s="252"/><c r="D144" s="252"/><c r="E144" s="252"/><c r="F144" s="252"/><c r="G144" s="252"/><c r="H144" s="252"/><c r="I144" s="252"/><c r="J144" s="252"/><c r="K144" s="252"/><c r="L144" s="252"/><c r="M144" s="252"/><c r="N144" s="252"/><c r="O144" s="252"/><c r="P144" s="252"/><c r="Q144" s="252"/><c r="R144" s="252"/><c r="S144" s="252"/><c r="T144" s="252"/><c r="U144" s="252"/></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70" zoomScaleNormal="70" workbookViewID_"0"><selection activeCell="K154" sqref="K154"/></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c r="S1" s="240"/><c r="T1" s="240"/><c r="U1" s="240"/></row><row r="2" spans="1:30" s="21" customFormat="1" ht="28.5" customHeight="1"><c r="A2" s="82"/><c r="B2" s="227" t="s"><v>450</v></c><c r="C2" s="82"/><c r="D2" s="82"/><c r="E2" s="82"/><c r="F2" s="86"/><c r="G2" s="86"/><c r="H2" s="87"/><c r="I2" s="84" t="str"><f>Translation!$A$10</f><v>Island</v></c><c r="J2" s="85" t="str"><f>'Start here'!$B$5</f><v>Cyprus - Strovolos</v></c><c r="K2" s="87"/><c r="L2" s="87"/><c r="M2" s="87"/><c r="N2" s="87"/><c r="O2" s="87"/><c r="P2" s="87"/><c r="Q2" s="87"/><c r="R2" s="160"/><c r="S2" s="162"/><c r="T2" s="84" t="str"><f>Translation!$A$51</f><v>Inventory year</v></c><c r="U2" s="161"><v>2020</v></c></row><row r="3" spans="1:30" ht="28.5" customHeight="1"><c r="A3" s="228"/><c r="D3" s="228"/><c r="E3" s="228"/><c r="F3" s="228"/><c r="G3" s="228"/><c r="H3" s="228"/><c r="I3" s="228"/><c r="J3" s="127"/><c r="K3" s="127"/><c r="T3" s="27"/></row><row r="4" spans="1:30" ht="46.5" customHeight="1"><c r="A4" s="263" t="str"><f>Translation!A154</f><v>PLAN EMISSION INVENTORY IN 2020 (implementing sustainable energy actions)</v></c><c r="B4" s="263"/><c r="C4" s="263"/><c r="D4" s="263"/><c r="E4" s="263"/><c r="F4" s="263"/><c r="G4" s="263"/><c r="H4" s="263"/><c r="I4" s="263"/><c r="J4" s="263"/><c r="K4" s="263"/><c r="L4" s="263"/><c r="M4" s="263"/><c r="N4" s="263"/><c r="O4" s="263"/><c r="P4" s="263"/><c r="Q4" s="263"/><c r="R4" s="263"/><c r="S4" s="263"/><c r="T4" s="263"/><c r="U4" s="263"/><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7" t="str"><f>Translation!$A$53</f><v>Mandatory fields</v></c><c r="T6" s="267"/><c r="U6" s="267"/></row><row r="7" spans="1:30" s="135" customFormat="1" ht="36"><c r="A7" s="133" t="s"><v>0</v></c><c r="B7" s="134" t="str"><f>Translation!A50</f><v>GENERAL DATA</v></c><c r="L7" s="136"/></row><row r="8" spans="1:30" ht="21"><c r="A8" s="137"/><c r="B8" s="139" t="str"><f>Translation!A52</f><v>Number of inhabitants</v></c><c r="C8" s="283"><v>77401</v></c><c r="D8" s="28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85" t="str"><f>'Start here'!F7</f><v>IPCC emission factors</v></c><c r="D10" s="285"/><c r="E10" s="285"/><c r="F10" s="285"/><c r="G10" s="285"/><c r="H10" s="285"/><c r="I10" s="285"/><c r="J10" s="28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1" t="str"><f>Translation!A56</f><v>DEMAND SECTOR</v></c><c r="C14" s="286" t="str"><f>Translation!A93</f><v>ENERGY FOR FINAL USE</v></c><c r="D14" s="287"/><c r="E14" s="287"/><c r="F14" s="287"/><c r="G14" s="287"/><c r="H14" s="287"/><c r="I14" s="287"/><c r="J14" s="287"/><c r="K14" s="287"/><c r="L14" s="287"/><c r="M14" s="287"/><c r="N14" s="287"/><c r="O14" s="287"/><c r="P14" s="287"/><c r="Q14" s="287"/><c r="R14" s="287"/><c r="S14" s="287"/><c r="T14" s="287"/><c r="U14" s="288"/></row><row r="15" spans="1:30" s="55" customFormat="1" ht="18" customHeight="1"><c r="B15" s="282"/><c r="C15" s="286" t="str"><f>Translation!A94</f><v>Centralized energy services</v></c><c r="D15" s="287"/><c r="E15" s="287"/><c r="F15" s="288"/><c r="G15" s="286" t="str"><f>Translation!A98</f><v>Fossil fuels</v></c><c r="H15" s="287"/><c r="I15" s="287"/><c r="J15" s="287"/><c r="K15" s="287"/><c r="L15" s="287"/><c r="M15" s="288"/><c r="N15" s="286" t="str"><f>Translation!A105</f><v>Renewable energy sources (excluding electricity and heat sold to public networks)</v></c><c r="O15" s="287"/><c r="P15" s="287"/><c r="Q15" s="287"/><c r="R15" s="287"/><c r="S15" s="287"/><c r="T15" s="288"/><c r="U15" s="281"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282"/></row><row r="17" spans="1:21" s="21" customFormat="1" ht="15.75"><c r="A17" s="22"/><c r="B17" s="70" t="str"><f>Translation!A59</f><v>RESIDENTIAL</v></c><c r="C17" s="124"><f>SUM(C18:C26)</f><v>193162.52038337372</v></c><c r="D17" s="124"><f>SUM(D18:D26)</f><v>0</v></c><c r="E17" s="124"><f>SUM(E18:E26)</f><v>0</v></c><c r="F17" s="68"><f t="shared" ref="F17:F52" si="0">SUM(C17:E17)</f><v>193162.52038337372</v></c><c r="G17" s="124"><f t="shared" ref="G17:L17" si="1">SUM(G18:G26)</f><v>88028.735440501943</v></c><c r="H17" s="124"><f t="shared" si="1"/><v>0</v></c><c r="I17" s="124"><f t="shared" si="1"/><v>0</v></c><c r="J17" s="124"><f t="shared" si="1"/><v>12605.488348514618</v></c><c r="K17" s="124"><f t="shared" si="1"/><v>0</v></c><c r="L17" s="124"><f t="shared" si="1"/><v>0</v></c><c r="M17" s="68"><f t="shared" ref="M17:M52" si="2">SUM(G17:L17)</f><v>100634.22378901656</v></c><c r="N17" s="124"><f t="shared" ref="N17:S17" si="3">SUM(N18:N26)</f><v>0</v></c><c r="O17" s="124"><f t="shared" si="3"/><v>0</v></c><c r="P17" s="124"><f t="shared" si="3"/><v>24273.666459492237</v></c><c r="Q17" s="124"><f t="shared" si="3"/><v>669.07938803846218</v></c><c r="R17" s="124"><f t="shared" si="3"/><v>0</v></c><c r="S17" s="124"><f t="shared" si="3"/><v>13467.367169492129</v></c><c r="T17" s="68"><f t="shared" ref="T17:T52" si="4">SUM(N17:S17)</f><v>38410.113017022828</v></c><c r="U17" s="68"><f t="shared" ref="U17:U52" si="5">F17+M17+T17</f><v>332206.8571894131</v></c></row><row r="18" spans="1:21" s="21" customFormat="1" ht="15.75"><c r="A18" s="22"/><c r="B18" s="197" t="str"><f>Translation!A60</f><v>Hot water</v></c><c r="C18" s="158"><v>5794.875611501212</v></c><c r="D18" s="158"/><c r="E18" s="158"/><c r="F18" s="68"><f t="shared" si="0"/><v>5794.875611501212</v></c><c r="G18" s="158"><v>5070.5161600635629</v></c><c r="H18" s="158"><v>0</v></c><c r="I18" s="158"><v>0</v></c><c r="J18" s="158"><v>362.17972571882575</v></c><c r="K18" s="158"><v>0</v></c><c r="L18" s="158"><v>0</v></c><c r="M18" s="68"><f t="shared" si="2"/><v>5432.6958857823884</v></c><c r="N18" s="158"><v>0</v></c><c r="O18" s="158"><v>0</v></c><c r="P18" s="158"><v>23541.682171723663</v></c><c r="Q18" s="158"><v>181.08986285941288</v></c><c r="R18" s="158"><v>0</v></c><c r="S18" s="158"><v>1267.6290400158907</v></c><c r="T18" s="68"><f t="shared" si="4"/><v>24990.401074598965</v></c><c r="U18" s="68"><f t="shared" si="5"/><v>36217.972571882565</v></c></row><row r="19" spans="1:21" s="21" customFormat="1" ht="15.75"><c r="A19" s="22"/><c r="B19" s="197" t="str"><f>Translation!A61</f><v>Heating and cooling</v></c><c r="C19" s="158"><v>139077.01467602904</v></c><c r="D19" s="158"/><c r="E19" s="158"/><c r="F19" s="68"><f t="shared" si="0"/><v>139077.01467602904</v></c><c r="G19" s="158"><v>82958.219280438381</v></c><c r="H19" s="158"><v>0</v></c><c r="I19" s="158"><v>0</v></c><c r="J19" s="158"><v>9759.7905035809872</v></c><c r="K19" s="158"><v>0</v></c><c r="L19" s="158"><v>0</v></c><c r="M19" s="68"><f t="shared" si="2"/><v>92718.009784019363</v></c><c r="N19" s="158"><v>0</v></c><c r="O19" s="158"><v>0</v></c><c r="P19" s="158"><v>731.98428776857406</v></c><c r="Q19" s="158"><v>487.98952517904934</v></c><c r="R19" s="158"><v>0</v></c><c r="S19" s="158"><v>12199.738129476238</v></c><c r="T19" s="68"><f t="shared" si="4"/><v>13419.711942423861</v></c><c r="U19" s="68"><f t="shared" si="5"/><v>245214.73640247228</v></c></row><row r="20" spans="1:21" s="21" customFormat="1" ht="15.75"><c r="A20" s="22"/><c r="B20" s="197" t="str"><f>Translation!A62</f><v>Lighting</v></c><c r="C20" s="158"><v>7726.500815334949</v></c><c r="D20" s="158"/><c r="E20" s="158"/><c r="F20" s="68"><f t="shared" si="0"/><v>7726.500815334949</v></c><c r="G20" s="158"><v>0</v></c><c r="H20" s="158"><v>0</v></c><c r="I20" s="158"><v>0</v></c><c r="J20" s="158"><v>0</v></c><c r="K20" s="158"><v>0</v></c><c r="L20" s="158"><v>0</v></c><c r="M20" s="68"><f t="shared" si="2"/><v>0</v></c><c r="N20" s="158"><v>0</v></c><c r="O20" s="158"><v>0</v></c><c r="P20" s="158"><v>0</v></c><c r="Q20" s="158"><v>0</v></c><c r="R20" s="158"><v>0</v></c><c r="S20" s="158"><v>0</v></c><c r="T20" s="68"><f t="shared" si="4"/><v>0</v></c><c r="U20" s="68"><f t="shared" si="5"/><v>7726.500815334949</v></c></row><row r="21" spans="1:21" s="21" customFormat="1" ht="15.75"><c r="A21" s="22"/><c r="B21" s="197" t="str"><f>Translation!A63</f><v>Cooking</v></c><c r="C21" s="158"><v>5794.875611501212</v></c><c r="D21" s="158"/><c r="E21" s="158"/><c r="F21" s="68"><f t="shared" si="0"/><v>5794.875611501212</v></c><c r="G21" s="158"><v>0</v></c><c r="H21" s="158"><v>0</v></c><c r="I21" s="158"><v>0</v></c><c r="J21" s="158"><v>2483.5181192148052</v></c><c r="K21" s="158"><v>0</v></c><c r="L21" s="158"><v>0</v></c><c r="M21" s="68"><f t="shared" si="2"/><v>2483.5181192148052</v></c><c r="N21" s="158"><v>0</v></c><c r="O21" s="158"><v>0</v></c><c r="P21" s="158"><v>0</v></c><c r="Q21" s="158"><v>0</v></c><c r="R21" s="158"><v>0</v></c><c r="S21" s="158"><v>0</v></c><c r="T21" s="68"><f t="shared" si="4"/><v>0</v></c><c r="U21" s="68"><f t="shared" si="5"/><v>8278.3937307160177</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34769.253669007259</v></c><c r="D26" s="158"/><c r="E26" s="158"/><c r="F26" s="68"><f t="shared" si="0"/><v>34769.253669007259</v></c><c r="G26" s="158"><v>0</v></c><c r="H26" s="158"><v>0</v></c><c r="I26" s="158"><v>0</v></c><c r="J26" s="158"><v>0</v></c><c r="K26" s="158"><v>0</v></c><c r="L26" s="158"><v>0</v></c><c r="M26" s="68"><f t="shared" si="2"/><v>0</v></c><c r="N26" s="158"><v>0</v></c><c r="O26" s="158"><v>0</v></c><c r="P26" s="158"><v>0</v></c><c r="Q26" s="158"><v>0</v></c><c r="R26" s="158"><v>0</v></c><c r="S26" s="158"><v>0</v></c><c r="T26" s="68"><f t="shared" si="4"/><v>0</v></c><c r="U26" s="68"><f t="shared" si="5"/><v>34769.253669007259</v></c></row><row r="27" spans="1:21" s="21" customFormat="1" ht="15.75"><c r="A27" s="22"/><c r="B27" s="70" t="str"><f>Translation!A69</f><v>PRIMARY SECTOR</v></c><c r="C27" s="124"><f>SUM(C28:C29)</f><v>1247.159902334944</v></c><c r="D27" s="124"><f>SUM(D28:D29)</f><v>0</v></c><c r="E27" s="124"><f>SUM(E28:E29)</f><v>0</v></c><c r="F27" s="68"><f t="shared" si="0"/><v>1247.159902334944</v></c><c r="G27" s="124"><f t="shared" ref="G27:L27" si="6">SUM(G28:G29)</f><v>336.13857402203899</v></c><c r="H27" s="124"><f t="shared" si="6"/><v>0</v></c><c r="I27" s="124"><f t="shared" si="6"/><v>0</v></c><c r="J27" s="124"><f t="shared" si="6"/><v>245.44703626636971</v></c><c r="K27" s="124"><f t="shared" si="6"/><v>0</v></c><c r="L27" s="124"><f t="shared" si="6"/><v>0</v></c><c r="M27" s="68"><f t="shared" si="2"/><v>581.5856102884087</v></c><c r="N27" s="124"><f t="shared" ref="N27:S27" si="7">SUM(N28:N29)</f><v>0</v></c><c r="O27" s="124"><f t="shared" si="7"/><v>0</v></c><c r="P27" s="124"><f t="shared" si="7"/><v>0</v></c><c r="Q27" s="124"><f t="shared" si="7"/><v>0</v></c><c r="R27" s="124"><f t="shared" si="7"/><v>0</v></c><c r="S27" s="124"><f t="shared" si="7"/><v>498.86396093397764</v></c><c r="T27" s="68"><f t="shared" si="4"/><v>498.86396093397764</v></c><c r="U27" s="68"><f t="shared" si="5"/><v>2327.6094735573301</v></c></row><row r="28" spans="1:21" s="21" customFormat="1" ht="15.75"><c r="A28" s="22"/><c r="B28" s="198" t="str"><f>Translation!A70</f><v>Agriculture, forestry and fishing</v></c><c r="C28" s="158"><v>1247.159902334944</v></c><c r="D28" s="158"/><c r="E28" s="158"/><c r="F28" s="68"><f t="shared" si="0"/><v>1247.159902334944</v></c><c r="G28" s="158"><v>336.13857402203899</v></c><c r="H28" s="158"><v>0</v></c><c r="I28" s="158"><v>0</v></c><c r="J28" s="158"><v>245.44703626636971</v></c><c r="K28" s="158"><v>0</v></c><c r="L28" s="158"><v>0</v></c><c r="M28" s="68"><f t="shared" si="2"/><v>581.5856102884087</v></c><c r="N28" s="158"><v>0</v></c><c r="O28" s="158"><v>0</v></c><c r="P28" s="158"><v>0</v></c><c r="Q28" s="158"><v>0</v></c><c r="R28" s="158"><v>0</v></c><c r="S28" s="158"><v>498.86396093397764</v></c><c r="T28" s="68"><f t="shared" si="4"/><v>498.86396093397764</v></c><c r="U28" s="68"><f t="shared" si="5"/><v>2327.6094735573301</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31192.321835429033</v></c><c r="D30" s="124"><f>SUM(D31:D33)</f><v>0</v></c><c r="E30" s="124"><f>SUM(E31:E33)</f><v>0</v></c><c r="F30" s="68"><f t="shared" si="0"/><v>31192.321835429033</v></c><c r="G30" s="124"><f t="shared" ref="G30:L30" si="8">SUM(G31:G33)</f><v>18941.276963581706</v></c><c r="H30" s="124"><f t="shared" si="8"/><v>0</v></c><c r="I30" s="124"><f t="shared" si="8"/><v>0</v></c><c r="J30" s="124"><f t="shared" si="8"/><v>6124.9709716634979</v></c><c r="K30" s="124"><f t="shared" si="8"/><v>0</v></c><c r="L30" s="124"><f t="shared" si="8"/><v>0</v></c><c r="M30" s="68"><f t="shared" si="2"/><v>25066.247935245203</v></c><c r="N30" s="124"><f t="shared" ref="N30:S30" si="9">SUM(N31:N33)</f><v>0</v></c><c r="O30" s="124"><f t="shared" si="9"/><v>0</v></c><c r="P30" s="124"><f t="shared" si="9"/><v>1284.4298074171641</v></c><c r="Q30" s="124"><f t="shared" si="9"/><v>0</v></c><c r="R30" s="124"><f t="shared" si="9"/><v>0</v></c><c r="S30" s="124"><f t="shared" si="9"/><v>428.14326913905472</v></c><c r="T30" s="68"><f t="shared" si="4"/><v>1712.5730765562189</v></c><c r="U30" s="68"><f t="shared" si="5"/><v>57971.142847230454</v></c></row><row r="31" spans="1:21" s="21" customFormat="1" ht="15.75"><c r="A31" s="22"/><c r="B31" s="79" t="str"><f>Translation!A73</f><v>Manufacturing</v></c><c r="C31" s="158"><v>29113.74230145571</v></c><c r="D31" s="158"><v>0</v></c><c r="E31" s="158"><v>0</v></c><c r="F31" s="68"><f t="shared" si="0"/><v>29113.74230145571</v></c><c r="G31" s="158"><v>17679.076898721425</v></c><c r="H31" s="158"><v>0</v></c><c r="I31" s="158"><v>0</v></c><c r="J31" s="158"><v>5716.8179853276106</v></c><c r="K31" s="158"><v>0</v></c><c r="L31" s="158"><v>0</v></c><c r="M31" s="68"><f t="shared" si="2"/><v>23395.894884049034</v></c><c r="N31" s="158"><v>0</v></c><c r="O31" s="158"><v>0</v></c><c r="P31" s="158"><v>1284.4298074171641</v></c><c r="Q31" s="158"><v>0</v></c><c r="R31" s="158"><v>0</v></c><c r="S31" s="158"><v>428.14326913905472</v></c><c r="T31" s="68"><f t="shared" si="4"/><v>1712.5730765562189</v></c><c r="U31" s="68"><f t="shared" si="5"/><v>54222.210262060966</v></c></row><row r="32" spans="1:21" s="21" customFormat="1" ht="30"><c r="A32" s="22"/><c r="B32" s="198" t="str"><f>Translation!A74</f><v>Water supply, sewerage, waste management and remediation activities</v></c><c r="C32" s="158"><v>984.50323029465471</v></c><c r="D32" s="158"><v>0</v></c><c r="E32" s="158"><v>0</v></c><c r="F32" s="68"><f t="shared" si="0"/><v>984.50323029465471</v></c><c r="G32" s="158"><v>597.83136551801431</v></c><c r="H32" s="158"><v>0</v></c><c r="I32" s="158"><v>0</v></c><c r="J32" s="158"><v>193.31852687588696</v></c><c r="K32" s="158"><v>0</v></c><c r="L32" s="158"><v>0</v></c><c r="M32" s="68"><f t="shared" si="2"/><v>791.14989239390127</v></c><c r="N32" s="158"><v>0</v></c><c r="O32" s="158"><v>0</v></c><c r="P32" s="158"><v>0</v></c><c r="Q32" s="158"><v>0</v></c><c r="R32" s="158"><v>0</v></c><c r="S32" s="158"><v>0</v></c><c r="T32" s="68"><f t="shared" si="4"/><v>0</v></c><c r="U32" s="68"><f t="shared" si="5"/><v>1775.6531226885559</v></c></row><row r="33" spans="1:21" s="21" customFormat="1" ht="15.75"><c r="A33" s="22"/><c r="B33" s="198" t="str"><f>Translation!A75</f><v>Construction</v></c><c r="C33" s="158"><v>1094.0763036786705</v></c><c r="D33" s="158"><v>0</v></c><c r="E33" s="158"><v>0</v></c><c r="F33" s="68"><f t="shared" si="0"/><v>1094.0763036786705</v></c><c r="G33" s="158"><v>664.3686993422682</v></c><c r="H33" s="158"><v>0</v></c><c r="I33" s="158"><v>0</v></c><c r="J33" s="158"><v>214.83445946000006</v></c><c r="K33" s="158"><v>0</v></c><c r="L33" s="158"><v>0</v></c><c r="M33" s="68"><f t="shared" si="2"/><v>879.20315880226826</v></c><c r="N33" s="158"><v>0</v></c><c r="O33" s="158"><v>0</v></c><c r="P33" s="158"><v>0</v></c><c r="Q33" s="158"><v>0</v></c><c r="R33" s="158"><v>0</v></c><c r="S33" s="158"><v>0</v></c><c r="T33" s="68"><f t="shared" si="4"/><v>0</v></c><c r="U33" s="68"><f t="shared" si="5"/><v>1973.2794624809387</v></c></row><row r="34" spans="1:21" s="21" customFormat="1" ht="15.75"><c r="A34" s="22"/><c r="B34" s="65" t="str"><f>Translation!A76</f><v>TERTIARY SECTOR</v></c><c r="C34" s="124"><f>SUM(C35:C42)</f><v>232353.24032369972</v></c><c r="D34" s="124"><f>SUM(D35:D42)</f><v>0</v></c><c r="E34" s="124"><f>SUM(E35:E42)</f><v>0</v></c><c r="F34" s="68"><f t="shared" si="0"/><v>232353.24032369972</v></c><c r="G34" s="124"><f t="shared" ref="G34:L34" si="10">SUM(G35:G42)</f><v>135370.98752656282</v></c><c r="H34" s="124"><f t="shared" si="10"/><v>0</v></c><c r="I34" s="124"><f t="shared" si="10"/><v>0</v></c><c r="J34" s="124"><f t="shared" si="10"/><v>43774.4176699284</v></c><c r="K34" s="124"><f t="shared" si="10"/><v>0</v></c><c r="L34" s="124"><f t="shared" si="10"/><v>0</v></c><c r="M34" s="68"><f t="shared" si="2"/><v>179145.40519649122</v></c><c r="N34" s="124"><f t="shared" ref="N34:S34" si="11">SUM(N35:N42)</f><v>0</v></c><c r="O34" s="124"><f t="shared" si="11"/><v>0</v></c><c r="P34" s="124"><f t="shared" si="11"/><v>9554.0445154939662</v></c><c r="Q34" s="124"><f t="shared" si="11"/><v>0</v></c><c r="R34" s="124"><f t="shared" si="11"/><v>0</v></c><c r="S34" s="124"><f t="shared" si="11"/><v>3184.6815051646545</v></c><c r="T34" s="68"><f t="shared" si="4"/><v>12738.726020658622</v></c><c r="U34" s="68"><f t="shared" si="5"/><v>424237.37154084956</v></c></row><row r="35" spans="1:21" s="21" customFormat="1" ht="30"><c r="A35" s="22"/><c r="B35" s="198" t="str"><f>Translation!A77</f><v xml:space="preserve">Wholesale and retail trade; repair of motor vehicles and motorcycles </v></c><c r="C35" s="158"><v>78674.407635930067</v></c><c r="D35" s="158"/><c r="E35" s="158"/><c r="F35" s="68"><f t="shared" si="0"/><v>78674.407635930067</v></c><c r="G35" s="158"><v>47774.377067540991</v></c><c r="H35" s="158"><v>0</v></c><c r="I35" s="158"><v>0</v></c><c r="J35" s="158"><v>15448.624360997799</v></c><c r="K35" s="158"><v>0</v></c><c r="L35" s="158"/><c r="M35" s="68"><f t="shared" si="2"/><v>63223.001428538788</v></c><c r="N35" s="223"><v>0</v></c><c r="O35" s="223"><v>0</v></c><c r="P35" s="223"><v>3371.7603272541501</v></c><c r="Q35" s="223"><v>0</v></c><c r="R35" s="223"><v>0</v></c><c r="S35" s="223"><v>1123.9201090847157</v></c><c r="T35" s="68"><f t="shared" si="4"/><v>4495.6804363388655</v></c><c r="U35" s="68"><f t="shared" si="5"/><v>146393.08950080775</v></c></row><row r="36" spans="1:21" s="21" customFormat="1" ht="15.75"><c r="A36" s="22"/><c r="B36" s="198" t="str"><f>Translation!A78</f><v>Accomodation and food service activities</v></c><c r="C36" s="158"><v>9998.6099083863137</v></c><c r="D36" s="158"/><c r="E36" s="158"/><c r="F36" s="68"><f t="shared" si="0"/><v>9998.6099083863137</v></c><c r="G36" s="158"><v>6071.5723736361133</v></c><c r="H36" s="158"><v>0</v></c><c r="I36" s="158"><v>0</v></c><c r="J36" s="158"><v>1963.341997077431</v></c><c r="K36" s="158"><v>0</v></c><c r="L36" s="158"/><c r="M36" s="68"><f t="shared" si="2"/><v>8034.9143707135445</v></c><c r="N36" s="223"><v>0</v></c><c r="O36" s="223"><v>0</v></c><c r="P36" s="223"><v>428.51185321655629</v></c><c r="Q36" s="223"><v>0</v></c><c r="R36" s="223"><v>0</v></c><c r="S36" s="223"><v>142.83728440551883</v></c><c r="T36" s="68"><f t="shared" si="4"/><v>571.34913762207509</v></c><c r="U36" s="68"><f t="shared" si="5"/><v>18604.873416721934</v></c></row><row r="37" spans="1:21" s="21" customFormat="1" ht="15.75"><c r="A37" s="22"/><c r="B37" s="198" t="str"><f>Translation!A79</f><v>General public administration and social security</v></c><c r="C37" s="158"><v>16744.625011218381</v></c><c r="D37" s="158"/><c r="E37" s="158"/><c r="F37" s="68"><f t="shared" si="0"/><v>16744.625011218381</v></c><c r="G37" s="158"><v>10168.033712340102</v></c><c r="H37" s="158"><v>0</v></c><c r="I37" s="158"><v>0</v></c><c r="J37" s="158"><v>3287.9996130526106</v></c><c r="K37" s="158"><v>0</v></c><c r="L37" s="158"/><c r="M37" s="68"><f t="shared" si="2"/><v>13456.033325392713</v></c><c r="N37" s="223"><v>0</v></c><c r="O37" s="223"><v>0</v></c><c r="P37" s="223"><v>717.62678619507381</v></c><c r="Q37" s="223"><v>0</v></c><c r="R37" s="223"><v>0</v></c><c r="S37" s="223"><v>239.20892873169115</v></c><c r="T37" s="68"><f t="shared" si="4"/><v>956.83571492676492</v></c><c r="U37" s="68"><f t="shared" si="5"/><v>31157.494051537858</v></c></row><row r="38" spans="1:21" s="21" customFormat="1" ht="15.75"><c r="A38" s="22"/><c r="B38" s="198" t="str"><f>Translation!A80</f><v>Defense, justice, police and fire departments</v></c><c r="C38" s="158"><v>503.21507426175515</v></c><c r="D38" s="158"/><c r="E38" s="158"/><c r="F38" s="68"><f t="shared" si="0"/><v>503.21507426175515</v></c><c r="G38" s="158"><v>305.57315175605419</v></c><c r="H38" s="158"><v>0</v></c><c r="I38" s="158"><v>0</v></c><c r="J38" s="158"><v>98.812064668296827</v></c><c r="K38" s="158"><v>0</v></c><c r="L38" s="158"/><c r="M38" s="68"><f t="shared" si="2"/><v>404.38521642435103</v></c><c r="N38" s="223"><v>0</v></c><c r="O38" s="223"><v>0</v></c><c r="P38" s="223"><v>21.566360325503791</v></c><c r="Q38" s="223"><v>0</v></c><c r="R38" s="223"><v>0</v></c><c r="S38" s="223"><v>7.188786775167932</v></c><c r="T38" s="68"><f t="shared" si="4"/><v>28.755147100671721</v></c><c r="U38" s="68"><f t="shared" si="5"/><v>936.35543778677788</v></c></row><row r="39" spans="1:21" s="21" customFormat="1" ht="15.75"><c r="A39" s="22"/><c r="B39" s="198" t="str"><f>Translation!A81</f><v>Education</v></c><c r="C39" s="158"><v>26746.269448982053</v></c><c r="D39" s="158"/><c r="E39" s="158"/><c r="F39" s="68"><f t="shared" si="0"/><v>26746.269448982053</v></c><c r="G39" s="158"><v>16241.448778600827</v></c><c r="H39" s="158"><v>0</v></c><c r="I39" s="158"><v>0</v></c><c r="J39" s="158"><v>5251.9374748574901</v></c><c r="K39" s="158"><v>0</v></c><c r="L39" s="158"/><c r="M39" s="68"><f t="shared" si="2"/><v>21493.386253458317</v></c><c r="N39" s="223"><v>0</v></c><c r="O39" s="223"><v>0</v></c><c r="P39" s="223"><v>1146.2686906706595</v></c><c r="Q39" s="223"><v>0</v></c><c r="R39" s="223"><v>0</v></c><c r="S39" s="223"><v>382.0895635568865</v></c><c r="T39" s="68"><f t="shared" si="4"/><v>1528.358254227546</v></c><c r="U39" s="68"><f t="shared" si="5"/><v>49768.013956667921</v></c></row><row r="40" spans="1:21" s="21" customFormat="1" ht="15.75"><c r="A40" s="22"/><c r="B40" s="198" t="str"><f>Translation!A82</f><v>Human health and social work activities</v></c><c r="C40" s="158"><v>18790.345030697183</v></c><c r="D40" s="158"/><c r="E40" s="158"/><c r="F40" s="68"><f t="shared" si="0"/><v>18790.345030697183</v></c><c r="G40" s="158"><v>11410.280111416432</v></c><c r="H40" s="158"><v>0</v></c><c r="I40" s="158"><v>0</v></c><c r="J40" s="158"><v>3689.7002559725815</v></c><c r="K40" s="158"><v>0</v></c><c r="L40" s="158"/><c r="M40" s="68"><f t="shared" si="2"/><v>15099.980367389013</v></c><c r="N40" s="223"><v>0</v></c><c r="O40" s="223"><v>0</v></c><c r="P40" s="223"><v>805.30050131559358</v></c><c r="Q40" s="223"><v>0</v></c><c r="R40" s="223"><v>0</v></c><c r="S40" s="223"><v>268.43350043853115</v></c><c r="T40" s="68"><f t="shared" si="4"/><v>1073.7340017541246</v></c><c r="U40" s="68"><f t="shared" si="5"/><v>34964.05939984032</v></c></row><row r="41" spans="1:21" s="21" customFormat="1" ht="15.75"><c r="A41" s="22"/><c r="B41" s="198" t="str"><f>Translation!A83</f><v>Other services</v></c><c r="C41" s="158"><v>71470.233252050006</v></c><c r="D41" s="158"/><c r="E41" s="158"/><c r="F41" s="68"><f t="shared" si="0"/><v>71470.233252050006</v></c><c r="G41" s="158"><v>43399.702331272318</v></c><c r="H41" s="158"><v>0</v></c><c r="I41" s="158"><v>0</v></c><c r="J41" s="158"><v>14034.001903302189</v></c><c r="K41" s="158"><v>0</v></c><c r="L41" s="158"/><c r="M41" s="68"><f t="shared" si="2"/><v>57433.704234574507</v></c><c r="N41" s="223"><v>0</v></c><c r="O41" s="223"><v>0</v></c><c r="P41" s="223"><v>3063.0099965164291</v></c><c r="Q41" s="223"><v>0</v></c><c r="R41" s="223"><v>0</v></c><c r="S41" s="223"><v>1021.0033321721431</v></c><c r="T41" s="68"><f t="shared" si="4"/><v>4084.0133286885721</v></c><c r="U41" s="68"><f t="shared" si="5"/><v>132987.95081531309</v></c></row><row r="42" spans="1:21" s="21" customFormat="1" ht="15.75"><c r="A42" s="22"/><c r="B42" s="198" t="str"><f>Translation!A84</f><v>Public lighting</v></c><c r="C42" s="158"><v>9425.5349621739952</v></c><c r="D42" s="158"/><c r="E42" s="158"/><c r="F42" s="68"><f t="shared" si="0"/><v>9425.5349621739952</v></c><c r="G42" s="158"><v>0</v></c><c r="H42" s="158"><v>0</v></c><c r="I42" s="158"><v>0</v></c><c r="J42" s="158"><v>0</v></c><c r="K42" s="158"><v>0</v></c><c r="L42" s="158"/><c r="M42" s="68"><f t="shared" si="2"/><v>0</v></c><c r="N42" s="223"><v>0</v></c><c r="O42" s="223"><v>0</v></c><c r="P42" s="223"><v>0</v></c><c r="Q42" s="223"><v>0</v></c><c r="R42" s="223"><v>0</v></c><c r="S42" s="223"><v>0</v></c><c r="T42" s="68"><f t="shared" si="4"/><v>0</v></c><c r="U42" s="68"><f t="shared" si="5"/><v>9425.5349621739952</v></c></row><row r="43" spans="1:21" s="21" customFormat="1" ht="15.75"><c r="A43" s="22"/><c r="B43" s="65" t="str"><f>Translation!A85</f><v>TRANSPORTS</v></c><c r="C43" s="124"><f>SUM(C44:C47)</f><v>43</v></c><c r="D43" s="124"><f>SUM(D44:D47)</f><v>0</v></c><c r="E43" s="124"><f>SUM(E44:E47)</f><v>0</v></c><c r="F43" s="68"><f t="shared" si="0"/><v>43</v></c><c r="G43" s="124"><f t="shared" ref="G43:J43" si="12">SUM(G44:G47)</f><v>0</v></c><c r="H43" s="124"><f t="shared" si="12"/><v>277453.39586947049</v></c><c r="I43" s="124"><f t="shared" si="12"/><v>367359.79001316876</v></c><c r="J43" s="124"><f t="shared" si="12"/><v>0</v></c><c r="K43" s="124"><f>SUM(K44:K47)</f><v>0</v></c><c r="L43" s="124"><f t="shared" ref="L43" si="13">SUM(L44:L47)</f><v>0</v></c><c r="M43" s="68"><f t="shared" si="2"/><v>644813.18588263926</v></c><c r="N43" s="124"><f t="shared" ref="N43:S43" si="14">SUM(N44:N47)</f><v>0</v></c><c r="O43" s="124"><f t="shared" si="14"/><v>0</v></c><c r="P43" s="124"><f t="shared" si="14"/><v>0</v></c><c r="Q43" s="124"><f t="shared" si="14"/><v>0</v></c><c r="R43" s="124"><f t="shared" si="14"/><v>0</v></c><c r="S43" s="124"><f t="shared" si="14"/><v>12655.975167009112</v></c><c r="T43" s="68"><f t="shared" si="4"/><v>12655.975167009112</v></c><c r="U43" s="68"><f t="shared" si="5"/><v>657512.16104964842</v></c></row><row r="44" spans="1:21" s="21" customFormat="1" ht="30"><c r="A44" s="22"/><c r="B44" s="198" t="str"><f>Translation!A86</f><v>Passenger road transport and other passenger road transport services (public transports, taxi, tourism, school buses, etc.)</v></c><c r="C44" s="158"><v>43</v></c><c r="D44" s="158"/><c r="E44" s="158"/><c r="F44" s="68"><f t="shared" si="0"/><v>43</v></c><c r="G44" s="158"><v>0</v></c><c r="H44" s="158"><v>5169.6270969847828</v></c><c r="I44" s="158"><v>6844.800435198732</v></c><c r="J44" s="158"/><c r="K44" s="158"/><c r="L44" s="158"/><c r="M44" s="68"><f t="shared" si="2"/><v>12014.427532183516</v></c><c r="N44" s="158"/><c r="O44" s="158"/><c r="P44" s="158"/><c r="Q44" s="158"/><c r="R44" s="158"/><c r="S44" s="158"><v>0</v></c><c r="T44" s="68"><f t="shared" si="4"/><v>0</v></c><c r="U44" s="68"><f t="shared" si="5"/><v>12057.427532183516</v></c></row><row r="45" spans="1:21" s="21" customFormat="1" ht="15.75"><c r="A45" s="22"/><c r="B45" s="198" t="str"><f>Translation!A87</f><v>Freight transport by road and removal services</v></c><c r="C45" s="158"/><c r="D45" s="158"/><c r="E45" s="158"/><c r="F45" s="68"><f t="shared" si="0"/><v>0</v></c><c r="G45" s="158"><v>0</v></c><c r="H45" s="158"><v>82714.033551756525</v></c><c r="I45" s="158"><v>109516.80696317971</v></c><c r="J45" s="158"/><c r="K45" s="158"/><c r="L45" s="158"/><c r="M45" s="68"><f t="shared" si="2"/><v>192230.84051493625</v></c><c r="N45" s="158"/><c r="O45" s="158"/><c r="P45" s="158"/><c r="Q45" s="158"/><c r="R45" s="158"/><c r="S45" s="158"><v>3844.6168102987244</v></c><c r="T45" s="68"><f t="shared" si="4"/><v>3844.6168102987244</v></c><c r="U45" s="68"><f t="shared" si="5"/><v>196075.45732523498</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v>0</v></c><c r="T46" s="68"><f t="shared" si="4"/><v>0</v></c><c r="U46" s="68"><f t="shared" si="5"/><v>0</v></c></row><row r="47" spans="1:21" s="21" customFormat="1" ht="15.75"><c r="A47" s="22"/><c r="B47" s="197" t="str"><f>Translation!A89</f><v>Private transports</v></c><c r="C47" s="158"/><c r="D47" s="158"/><c r="E47" s="158"/><c r="F47" s="68"><f t="shared" si="0"/><v>0</v></c><c r="G47" s="158"><v>0</v></c><c r="H47" s="158"><v>189569.73522072917</v></c><c r="I47" s="158"><v>250998.1826147903</v></c><c r="J47" s="158"/><c r="K47" s="158"/><c r="L47" s="158"/><c r="M47" s="68"><f t="shared" si="2"/><v>440567.91783551947</v></c><c r="N47" s="158"/><c r="O47" s="158"/><c r="P47" s="158"/><c r="Q47" s="158"/><c r="R47" s="158"/><c r="S47" s="158"><v>8811.3583567103869</v></c><c r="T47" s="68"><f t="shared" si="4"/><v>8811.3583567103869</v></c><c r="U47" s="68"><f t="shared" si="5"/><v>449379.27619222988</v></c></row><row r="48" spans="1:21" s="21" customFormat="1" ht="15.75"><c r="A48" s="22"/><c r="B48" s="77" t="str"><f>Translation!A117</f><v>TOTAL FOR INTERNAL MARKET</v></c><c r="C48" s="69"><f>C17+C27+C30+C34+C43</f><v>457998.24244483741</v></c><c r="D48" s="69"><f>D17+D27+D30+D34+D43</f><v>0</v></c><c r="E48" s="69"><f>E17+E27+E30+E34+E43</f><v>0</v></c><c r="F48" s="68"><f t="shared" si="0"/><v>457998.24244483741</v></c><c r="G48" s="69"><f>G17+G27+G30+G34+G43</f><v>242677.13850466852</v></c><c r="H48" s="69"><f t="shared" ref="H48:L48" si="15">H17+H27+H30+H34+H43</f><v>277453.39586947049</v></c><c r="I48" s="69"><f t="shared" si="15"/><v>367359.79001316876</v></c><c r="J48" s="69"><f>J17+J27+J30+J34+J43</f><v>62750.324026372888</v></c><c r="K48" s="69"><f t="shared" si="15"/><v>0</v></c><c r="L48" s="69"><f t="shared" si="15"/><v>0</v></c><c r="M48" s="68"><f>SUM(G48:L48)</f><v>950240.64841368061</v></c><c r="N48" s="69"><f t="shared" ref="N48:S48" si="16">N17+N27+N30+N34+N43</f><v>0</v></c><c r="O48" s="69"><f t="shared" si="16"/><v>0</v></c><c r="P48" s="69"><f t="shared" si="16"/><v>35112.140782403367</v></c><c r="Q48" s="69"><f t="shared" si="16"/><v>669.07938803846218</v></c><c r="R48" s="69"><f t="shared" si="16"/><v>0</v></c><c r="S48" s="69"><f t="shared" si="16"/><v>30235.031071738929</v></c><c r="T48" s="68"><f t="shared" si="4"/><v>66016.251242180762</v></c><c r="U48" s="68"><f t="shared" si="5"/><v>1474255.1421006988</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1" t="str"><f>Translation!A120</f><v>PRODUCTION SECTOR</v></c><c r="C55" s="286" t="str"><f>Translation!A121</f><v>ENERGY SOURCE</v></c><c r="D55" s="287"/><c r="E55" s="287"/><c r="F55" s="287"/><c r="G55" s="287"/><c r="H55" s="287"/><c r="I55" s="287"/><c r="J55" s="287"/><c r="K55" s="287"/><c r="L55" s="287"/><c r="M55" s="287"/><c r="N55" s="287"/><c r="O55" s="287"/><c r="P55" s="287"/><c r="Q55" s="287"/><c r="R55" s="287"/><c r="S55" s="288"/><c r="T55" s="286" t="str"><f>Translation!A138</f><v>SECONDARY ENERGY CONVERSION</v></c><c r="U55" s="287"/><c r="V55" s="288"/><c r="W55" s="275" t="str"><f>Translation!A129</f><v>ENERGY FLUXES</v></c><c r="X55" s="276"/><c r="Y55" s="276"/><c r="Z55" s="276"/><c r="AA55" s="276"/><c r="AB55" s="277"/><c r="AC55" s="292" t="str"><f>Translation!A118</f><v>TOTAL</v></c><c r="AD55" s="249" t="str"><f>Translation!A137</f><v>Distribution losses and self-consumption</v></c></row><row r="56" spans="2:32" s="55" customFormat="1" ht="18" customHeight="1"><c r="B56" s="282"/><c r="C56" s="289" t="str"><f>Translation!A98</f><v>Fossil fuels</v></c><c r="D56" s="290"/><c r="E56" s="290"/><c r="F56" s="290"/><c r="G56" s="290"/><c r="H56" s="290"/><c r="I56" s="291"/><c r="J56" s="289" t="str"><f>Translation!A106</f><v>Renewable energy sources (from systems connected to public networks)</v></c><c r="K56" s="290"/><c r="L56" s="290"/><c r="M56" s="290"/><c r="N56" s="290"/><c r="O56" s="290"/><c r="P56" s="290"/><c r="Q56" s="290"/><c r="R56" s="291"/><c r="S56" s="249" t="str"><f>Translation!A116</f><v>Subtotal</v></c><c r="T56" s="273" t="str"><f>Translation!A139</f><v>Electricity conversion to cold</v></c><c r="U56" s="273" t="str"><f>Translation!A140</f><v>Heat conversion to cold</v></c><c r="V56" s="249" t="str"><f>Translation!A116</f><v>Subtotal</v></c><c r="W56" s="294" t="str"><f>Translation!A130</f><v>Storage</v></c><c r="X56" s="295"/><c r="Y56" s="293" t="str"><f>Translation!A133</f><v>External connection</v></c><c r="Z56" s="293"/><c r="AA56" s="281" t="str"><f>Translation!A136</f><v>Reexportation and external consumption</v></c><c r="AB56" s="249" t="str"><f>Translation!A116</f><v>Subtotal</v></c><c r="AC56" s="292"/><c r="AD56" s="249"/></row><row r="57" spans="2:32" s="55" customFormat="1" ht="69.75" customHeight="1"><c r="B57" s="73" t="str"><f>Translation!A122</f><v>Energy product</v></c><c r="C57" s="226" t="str"><f>Translation!A99</f><v>Fueloil</v></c><c r="D57" s="226" t="str"><f>Translation!A100</f><v>Diesel</v></c><c r="E57" s="226" t="str"><f>Translation!A101</f><v>Gasoline</v></c><c r="F57" s="226" t="str"><f>Translation!A102</f><v>LPG</v></c><c r="G57" s="226" t="str"><f>Translation!A103</f><v>Natural gas</v></c><c r="H57" s="226" t="str"><f>Translation!A104</f><v>Coal</v></c><c r="I57" s="226" t="str"><f>Translation!A116</f><v>Subtotal</v></c><c r="J57" s="226" t="str"><f>Translation!A108</f><v>Hydro</v></c><c r="K57" s="226" t="str"><f>Translation!A109</f><v>Wind</v></c><c r="L57" s="226" t="str"><f>Translation!A110</f><v>Solar</v></c><c r="M57" s="226" t="str"><f>Translation!A111</f><v>Geothermal</v></c><c r="N57" s="226" t="str"><f>Translation!A112</f><v>Ocean</v></c><c r="O57" s="226" t="str"><f>Translation!A113</f><v>Biomass</v></c><c r="P57" s="226" t="str"><f>Translation!A114</f><v>Urban waste</v></c><c r="Q57" s="226" t="str"><f>Translation!A115</f><v>Energy recovery</v></c><c r="R57" s="226" t="str"><f>Translation!A116</f><v>Subtotal</v></c><c r="S57" s="249"/><c r="T57" s="274"/><c r="U57" s="274"/><c r="V57" s="249"/><c r="W57" s="234" t="str"><f>Translation!A131</f><v>Input to storage</v></c><c r="X57" s="234" t="str"><f>Translation!A132</f><v>Output from storage</v></c><c r="Y57" s="234" t="str"><f>Translation!A134</f><v>Import to island</v></c><c r="Z57" s="234" t="str"><f>Translation!A135</f><v>Export from island</v></c><c r="AA57" s="282"/><c r="AB57" s="249"/><c r="AC57" s="292"/><c r="AD57" s="249"/></row><row r="58" spans="2:32" s="55" customFormat="1" ht="15.75"><c r="B58" s="199" t="str"><f>Translation!A123</f><v>Electricity</v></c><c r="C58" s="164"><v>117559</v></c><c r="D58" s="164"><v>6412</v></c><c r="E58" s="164"/><c r="F58" s="164"/><c r="G58" s="164"><v>334027</v></c><c r="H58" s="164"/><c r="I58" s="63"><f>SUM(C58:H58)</f><v>457998</v></c><c r="J58" s="164"/><c r="K58" s="164"/><c r="L58" s="164"/><c r="M58" s="164"/><c r="N58" s="164"/><c r="O58" s="164"/><c r="P58" s="164"/><c r="Q58" s="164"/><c r="R58" s="63"><f>SUM(J58:Q58)</f><v>0</v></c><c r="S58" s="63"><f>I58+R58</f><v>457998</v></c><c r="T58" s="164"/><c r="U58" s="164"/><c r="V58" s="63"><f>-T58</f><v>0</v></c><c r="W58" s="164"/><c r="X58" s="164"/><c r="Y58" s="164"/><c r="Z58" s="164"/><c r="AA58" s="201"><f>$C$49+$C$50+$C$51</f><v>0</v></c><c r="AB58" s="63"><f>-SUM(W58)+SUM(X58:Y58)-SUM(Z58:AA58)</f><v>0</v></c><c r="AC58" s="68"><f>S58+V58+AB58</f><v>457998</v></c><c r="AD58" s="202"><f>AC58-C48</f><v>-0.24244483740767464</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5" t="str"><f>Translation!A118</f><v>TOTAL</v></c><c r="C61" s="57"><f t="shared" ref="C61:AD61" si="19">SUM(C58:C60)</f><v>117559</v></c><c r="D61" s="57"><f t="shared" si="19"/><v>6412</v></c><c r="E61" s="57"><f t="shared" si="19"/><v>0</v></c><c r="F61" s="57"><f t="shared" si="19"/><v>0</v></c><c r="G61" s="57"><f t="shared" si="19"/><v>334027</v></c><c r="H61" s="57"><f t="shared" si="19"/><v>0</v></c><c r="I61" s="57"><f t="shared" si="19"/><v>457998</v></c><c r="J61" s="57"><f t="shared" si="19"/><v>0</v></c><c r="K61" s="57"><f t="shared" si="19"/><v>0</v></c><c r="L61" s="57"><f t="shared" si="19"/><v>0</v></c><c r="M61" s="57"><f t="shared" si="19"/><v>0</v></c><c r="N61" s="57"><f t="shared" si="19"/><v>0</v></c><c r="O61" s="57"><f t="shared" si="19"/><v>0</v></c><c r="P61" s="57"><f t="shared" si="19"/><v>0</v></c><c r="Q61" s="57"><f t="shared" si="19"/><v>0</v></c><c r="R61" s="57"><f t="shared" si="19"/><v>0</v></c><c r="S61" s="57"><f t="shared" si="19"/><v>457998</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457998</v></c><c r="AD61" s="57"><f t="shared" si="19"/><v>-0.24244483740767464</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1" t="str"><f>Translation!A120</f><v>PRODUCTION SECTOR</v></c><c r="C64" s="300" t="str"><f>Translation!A142</f><v>PRIMARY ENERGY SOURCE</v></c><c r="D64" s="301"/><c r="E64" s="301"/><c r="F64" s="301"/><c r="G64" s="301"/><c r="H64" s="301"/><c r="I64" s="301"/><c r="J64" s="301"/><c r="K64" s="301"/><c r="L64" s="301"/><c r="M64" s="301"/><c r="N64" s="301"/><c r="O64" s="301"/><c r="P64" s="301"/><c r="Q64" s="301"/><c r="R64" s="301"/><c r="S64" s="302"/><c r="T64" s="296" t="str"><f>Translation!A127</f><v>Conversion losses from primary to secondary energy</v></c><c r="U64" s="61"/><c r="V64" s="61"/><c r="W64" s="72"/><c r="X64" s="61"/><c r="Y64" s="61"/><c r="Z64" s="61"/><c r="AA64" s="61"/><c r="AB64" s="61"/><c r="AC64" s="61"/><c r="AD64" s="61"/><c r="AE64" s="61"/></row><row r="65" spans="2:32" s="55" customFormat="1" ht="15" customHeight="1"><c r="B65" s="282"/><c r="C65" s="300" t="str"><f>Translation!A98</f><v>Fossil fuels</v></c><c r="D65" s="301"/><c r="E65" s="301"/><c r="F65" s="301"/><c r="G65" s="301"/><c r="H65" s="301"/><c r="I65" s="302"/><c r="J65" s="300" t="str"><f>Translation!A107</f><v>Renewable energy sources</v></c><c r="K65" s="301"/><c r="L65" s="301"/><c r="M65" s="301"/><c r="N65" s="301"/><c r="O65" s="301"/><c r="P65" s="301"/><c r="Q65" s="301"/><c r="R65" s="302"/><c r="S65" s="299" t="str"><f>Translation!A118</f><v>TOTAL</v></c><c r="T65" s="297"/><c r="U65" s="61"/><c r="V65" s="61"/><c r="W65" s="72"/><c r="X65" s="61"/><c r="Y65" s="61"/><c r="Z65" s="61"/><c r="AA65" s="61"/><c r="AB65" s="61"/><c r="AC65" s="61"/><c r="AD65" s="61"/><c r="AE65" s="61"/></row><row r="66" spans="2:32" s="55" customFormat="1" ht="69.75" customHeight="1"><c r="B66" s="73" t="str"><f>Translation!A122</f><v>Energy product</v></c><c r="C66" s="233" t="str"><f>Translation!A99</f><v>Fueloil</v></c><c r="D66" s="233" t="str"><f>Translation!A100</f><v>Diesel</v></c><c r="E66" s="233" t="str"><f>Translation!A101</f><v>Gasoline</v></c><c r="F66" s="233" t="str"><f>Translation!A102</f><v>LPG</v></c><c r="G66" s="233" t="str"><f>Translation!A103</f><v>Natural gas</v></c><c r="H66" s="233" t="str"><f>Translation!A104</f><v>Coal</v></c><c r="I66" s="233" t="str"><f>Translation!A116</f><v>Subtotal</v></c><c r="J66" s="233" t="str"><f>Translation!A108</f><v>Hydro</v></c><c r="K66" s="233" t="str"><f>Translation!A109</f><v>Wind</v></c><c r="L66" s="233" t="str"><f>Translation!A110</f><v>Solar</v></c><c r="M66" s="233" t="str"><f>Translation!A111</f><v>Geothermal</v></c><c r="N66" s="233" t="str"><f>Translation!A112</f><v>Ocean</v></c><c r="O66" s="233" t="str"><f>Translation!A113</f><v>Biomass</v></c><c r="P66" s="233" t="str"><f>Translation!A114</f><v>Urban waste</v></c><c r="Q66" s="233" t="str"><f>Translation!A115</f><v>Energy recovery</v></c><c r="R66" s="233" t="str"><f>Translation!A116</f><v>Subtotal</v></c><c r="S66" s="299"/><c r="T66" s="298"/><c r="U66" s="61"/><c r="V66" s="61"/><c r="W66" s="72"/><c r="X66" s="61"/><c r="Y66" s="61"/><c r="Z66" s="61"/><c r="AA66" s="61"/><c r="AB66" s="61"/><c r="AC66" s="61"/><c r="AD66" s="61"/><c r="AE66" s="61"/></row><row r="67" spans="2:32" s="55" customFormat="1" ht="15.75"><c r="B67" s="199" t="str"><f>Translation!A123</f><v>Electricity</v></c><c r="C67" s="164"><v>335883</v></c><c r="D67" s="164"><v>20684</v></c><c r="E67" s="164"/><c r="F67" s="164"/><c r="G67" s="164"><v>759153</v></c><c r="H67" s="164"/><c r="I67" s="63"><f>SUM(C67:H67)</f><v>1115720</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1115720</v></c><c r="T67" s="75"><f>S67-AC58+AB58</f><v>657722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5" t="str"><f>Translation!A118</f><v>TOTAL</v></c><c r="C70" s="57"><f t="shared" ref="C70:S70" si="22">SUM(C67:C69)</f><v>335883</v></c><c r="D70" s="57"><f t="shared" si="22"/><v>20684</v></c><c r="E70" s="57"><f t="shared" si="22"/><v>0</v></c><c r="F70" s="57"><f t="shared" si="22"/><v>0</v></c><c r="G70" s="57"><f t="shared" si="22"/><v>759153</v></c><c r="H70" s="57"><f t="shared" si="22"/><v>0</v></c><c r="I70" s="57"><f t="shared" si="22"/><v>1115720</v></c><c r="J70" s="57"><f t="shared" si="22"/><v>0</v></c><c r="K70" s="57"><f t="shared" si="22"/><v>0</v></c><c r="L70" s="57"><f t="shared" si="22"/><v>0</v></c><c r="M70" s="57"><f t="shared" si="22"/><v>0</v></c><c r="N70" s="57"><f t="shared" si="22"/><v>0</v></c><c r="O70" s="57"><f t="shared" si="22"/><v>0</v></c><c r="P70" s="57"><f t="shared" si="22"/><v>0</v></c><c r="Q70" s="57"><f t="shared" si="22"/><v>0</v></c><c r="R70" s="57"><f t="shared" si="22"/><v>0</v></c><c r="S70" s="57"><f t="shared" si="22"/><v>1115720</v></c><c r="T70" s="75"><f>S70-AC61+AB61</f><v>657722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78" t="str"><f>Translation!A122</f><v>Energy product</v></c><c r="C73" s="286" t="str"><f>Translation!A142</f><v>PRIMARY ENERGY SOURCE</v></c><c r="D73" s="287"/><c r="E73" s="287"/><c r="F73" s="287"/><c r="G73" s="287"/><c r="H73" s="287"/><c r="I73" s="287"/><c r="J73" s="287"/><c r="K73" s="287"/><c r="L73" s="287"/><c r="M73" s="287"/><c r="N73" s="287"/><c r="O73" s="287"/><c r="P73" s="287"/><c r="Q73" s="287"/><c r="R73" s="287"/><c r="S73" s="287"/><c r="T73" s="287"/><c r="U73" s="287"/><c r="V73" s="287"/><c r="W73" s="287"/><c r="X73" s="287"/><c r="Y73" s="288"/></row><row r="74" spans="2:32" s="55" customFormat="1" ht="15" customHeight="1"><c r="B74" s="279"/><c r="C74" s="286" t="str"><f>Translation!A98</f><v>Fossil fuels</v></c><c r="D74" s="287"/><c r="E74" s="287"/><c r="F74" s="287"/><c r="G74" s="287"/><c r="H74" s="287"/><c r="I74" s="288"/><c r="J74" s="286" t="str"><f>Translation!A107</f><v>Renewable energy sources</v></c><c r="K74" s="287"/><c r="L74" s="287"/><c r="M74" s="287"/><c r="N74" s="287"/><c r="O74" s="287"/><c r="P74" s="287"/><c r="Q74" s="287"/><c r="R74" s="288"/><c r="S74" s="275" t="str"><f>Translation!A123</f><v>Electricity</v></c><c r="T74" s="276"/><c r="U74" s="276"/><c r="V74" s="277"/><c r="W74" s="225" t="str"><f>Translation!A124</f><v>Heat</v></c><c r="X74" s="225" t="str"><f>Translation!A125</f><v>Cold</v></c><c r="Y74" s="281" t="str"><f>Translation!A118</f><v>TOTAL</v></c></row><row r="75" spans="2:32" s="55" customFormat="1" ht="46.5" customHeight="1"><c r="B75" s="280"/><c r="C75" s="226" t="str"><f>Translation!A99</f><v>Fueloil</v></c><c r="D75" s="226" t="str"><f>Translation!A100</f><v>Diesel</v></c><c r="E75" s="226" t="str"><f>Translation!A101</f><v>Gasoline</v></c><c r="F75" s="226" t="str"><f>Translation!A102</f><v>LPG</v></c><c r="G75" s="226" t="str"><f>Translation!A103</f><v>Natural gas</v></c><c r="H75" s="226" t="str"><f>Translation!A104</f><v>Coal</v></c><c r="I75" s="226" t="str"><f>Translation!A116</f><v>Subtotal</v></c><c r="J75" s="226" t="str"><f>Translation!A108</f><v>Hydro</v></c><c r="K75" s="226" t="str"><f>Translation!A109</f><v>Wind</v></c><c r="L75" s="226" t="str"><f>Translation!A110</f><v>Solar</v></c><c r="M75" s="226" t="str"><f>Translation!A111</f><v>Geothermal</v></c><c r="N75" s="226" t="str"><f>Translation!A112</f><v>Ocean</v></c><c r="O75" s="226" t="str"><f>Translation!A113</f><v>Biomass</v></c><c r="P75" s="226" t="str"><f>Translation!A114</f><v>Urban waste</v></c><c r="Q75" s="226" t="str"><f>Translation!A115</f><v>Energy recovery</v></c><c r="R75" s="226" t="str"><f>Translation!A116</f><v>Subtotal</v></c><c r="S75" s="58" t="str"><f>Translation!A144</f><v>Imported electricity (cable)</v></c><c r="T75" s="58" t="str"><f>Translation!A145</f><v>Exported electricity (cable)</v></c><c r="U75" s="58" t="str"><f>Translation!A136</f><v>Reexportation and external consumption</v></c><c r="V75" s="229" t="str"><f>Translation!A116</f><v>Subtotal</v></c><c r="W75" s="229" t="str"><f>Translation!A136</f><v>Reexportation and external consumption</v></c><c r="X75" s="229" t="str"><f>Translation!A136</f><v>Reexportation and external consumption</v></c><c r="Y75" s="282"/></row><row r="76" spans="2:32" s="55" customFormat="1" ht="15.75"><c r="B76" s="231" t="str"><f>Translation!A118</f><v>TOTAL</v></c><c r="C76" s="201"><f t="shared" ref="C76:H76" si="23">G48+C70</f><v>578560.13850466849</v></c><c r="D76" s="201"><f t="shared" si="23"/><v>298137.39586947049</v></c><c r="E76" s="201"><f t="shared" si="23"/><v>367359.79001316876</v></c><c r="F76" s="201"><f t="shared" si="23"/><v>62750.324026372888</v></c><c r="G76" s="201"><f t="shared" si="23"/><v>759153</v></c><c r="H76" s="201"><f t="shared" si="23"/><v>0</v></c><c r="I76" s="57"><f>SUM(C76:H76)</f><v>2065960.6484136807</v></c><c r="J76" s="201"><f t="shared" ref="J76:O76" si="24">N48+J70</f><v>0</v></c><c r="K76" s="201"><f t="shared" si="24"/><v>0</v></c><c r="L76" s="201"><f t="shared" si="24"/><v>35112.140782403367</v></c><c r="M76" s="201"><f t="shared" si="24"/><v>669.07938803846218</v></c><c r="N76" s="201"><f t="shared" si="24"/><v>0</v></c><c r="O76" s="201"><f t="shared" si="24"/><v>30235.031071738929</v></c><c r="P76" s="201"><f>P70</f><v>0</v></c><c r="Q76" s="201"><f>Q70</f><v>0</v></c><c r="R76" s="57"><f>SUM(J76:Q76)</f><v>66016.251242180762</v></c><c r="S76" s="201"><f>Y61</f><v>0</v></c><c r="T76" s="201"><f>Z61</f><v>0</v></c><c r="U76" s="201"><f>$C$49+$C$50+$C$51</f><v>0</v></c><c r="V76" s="57"><f>S76-T76-U76</f><v>0</v></c><c r="W76" s="201"><f>$D$49+$D$50+$D$51</f><v>0</v></c><c r="X76" s="201"><f>$E$49+$E$50+$E$51</f><v>0</v></c><c r="Y76" s="57"><f>I76+R76+V76-W76-X76</f><v>2131976.8996558613</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1" t="str"><f>Translation!A120</f><v>PRODUCTION SECTOR</v></c><c r="C79" s="300" t="str"><f>Translation!A142</f><v>PRIMARY ENERGY SOURCE</v></c><c r="D79" s="301"/><c r="E79" s="301"/><c r="F79" s="301"/><c r="G79" s="301"/><c r="H79" s="301"/><c r="I79" s="301"/><c r="J79" s="301"/><c r="K79" s="301"/><c r="L79" s="301"/><c r="M79" s="301"/><c r="N79" s="301"/><c r="O79" s="301"/><c r="P79" s="301"/><c r="Q79" s="301"/><c r="R79" s="301"/><c r="S79" s="302"/><c r="T79" s="72"/><c r="V79" s="61"/><c r="W79" s="61"/><c r="X79" s="72"/><c r="Y79" s="61"/><c r="Z79" s="61"/><c r="AA79" s="61"/><c r="AB79" s="61"/><c r="AC79" s="61"/><c r="AD79" s="61"/><c r="AE79" s="61"/><c r="AF79" s="61"/></row><row r="80" spans="2:32" s="55" customFormat="1" ht="15" customHeight="1"><c r="B80" s="282"/><c r="C80" s="300" t="str"><f>Translation!A98</f><v>Fossil fuels</v></c><c r="D80" s="301"/><c r="E80" s="301"/><c r="F80" s="301"/><c r="G80" s="301"/><c r="H80" s="301"/><c r="I80" s="302"/><c r="J80" s="300" t="str"><f>Translation!A107</f><v>Renewable energy sources</v></c><c r="K80" s="301"/><c r="L80" s="301"/><c r="M80" s="301"/><c r="N80" s="301"/><c r="O80" s="301"/><c r="P80" s="301"/><c r="Q80" s="301"/><c r="R80" s="302"/><c r="S80" s="299" t="str"><f>Translation!A118</f><v>TOTAL</v></c><c r="T80" s="72"/><c r="V80" s="61"/><c r="W80" s="61"/><c r="X80" s="72"/><c r="Y80" s="61"/><c r="Z80" s="61"/><c r="AA80" s="61"/><c r="AB80" s="61"/><c r="AC80" s="61"/><c r="AD80" s="61"/><c r="AE80" s="61"/><c r="AF80" s="61"/></row><row r="81" spans="1:32" s="55" customFormat="1" ht="69.75" customHeight="1"><c r="B81" s="73" t="str"><f>Translation!A122</f><v>Energy product</v></c><c r="C81" s="233" t="str"><f>Translation!A99</f><v>Fueloil</v></c><c r="D81" s="233" t="str"><f>Translation!A100</f><v>Diesel</v></c><c r="E81" s="233" t="str"><f>Translation!A101</f><v>Gasoline</v></c><c r="F81" s="233" t="str"><f>Translation!A102</f><v>LPG</v></c><c r="G81" s="233" t="str"><f>Translation!A103</f><v>Natural gas</v></c><c r="H81" s="233" t="str"><f>Translation!A104</f><v>Coal</v></c><c r="I81" s="233" t="str"><f>Translation!A116</f><v>Subtotal</v></c><c r="J81" s="233" t="str"><f>Translation!A108</f><v>Hydro</v></c><c r="K81" s="233" t="str"><f>Translation!A109</f><v>Wind</v></c><c r="L81" s="233" t="str"><f>Translation!A110</f><v>Solar</v></c><c r="M81" s="233" t="str"><f>Translation!A111</f><v>Geothermal</v></c><c r="N81" s="233" t="str"><f>Translation!A112</f><v>Ocean</v></c><c r="O81" s="233" t="str"><f>Translation!A113</f><v>Biomass</v></c><c r="P81" s="233" t="str"><f>Translation!A114</f><v>Urban waste</v></c><c r="Q81" s="233" t="str"><f>Translation!A115</f><v>Energy recovery</v></c><c r="R81" s="233" t="str"><f>Translation!A116</f><v>Subtotal</v></c><c r="S81" s="299"/><c r="T81" s="72"/><c r="V81" s="61"/><c r="W81" s="61"/><c r="X81" s="72"/><c r="Y81" s="61"/><c r="Z81" s="61"/><c r="AA81" s="61"/><c r="AB81" s="61"/><c r="AC81" s="61"/><c r="AD81" s="61"/><c r="AE81" s="61"/><c r="AF81" s="61"/></row><row r="82" spans="1:32" s="55" customFormat="1" ht="15.75"><c r="B82" s="199" t="str"><f>Translation!A123</f><v>Electricity</v></c><c r="C82" s="203"><f t="shared" ref="C82:P84" si="25">IF(C67&gt;0,C58/C67,"-")</f><v>0.34999985113864052</v></c><c r="D82" s="203"><f t="shared" si="25"/><v>0.30999806613807773</v></c><c r="E82" s="203" t="str"><f t="shared" si="25"/><v>-</v></c><c r="F82" s="203" t="str"><f t="shared" si="25"/><v>-</v></c><c r="G82" s="203"><f t="shared" si="25"/><v>0.4399995784775928</v></c><c r="H82" s="203" t="str"><f t="shared" si="25"/><v>-</v></c><c r="I82" s="71"><f t="shared" si="25"/><v>0.41049546481195998</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0.41049546481195998</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3" t="str"><f>Translation!A56</f><v>DEMAND SECTOR</v></c><c r="C88" s="268" t="str"><f>Translation!A93</f><v>ENERGY FOR FINAL USE</v></c><c r="D88" s="269"/><c r="E88" s="269"/><c r="F88" s="269"/><c r="G88" s="269"/><c r="H88" s="269"/><c r="I88" s="269"/><c r="J88" s="269"/><c r="K88" s="269"/><c r="L88" s="269"/><c r="M88" s="269"/><c r="N88" s="269"/><c r="O88" s="269"/><c r="P88" s="269"/><c r="Q88" s="269"/><c r="R88" s="269"/><c r="S88" s="269"/><c r="T88" s="269"/><c r="U88" s="270"/></row><row r="89" spans="1:32" s="55" customFormat="1" ht="18" customHeight="1"><c r="B89" s="274"/><c r="C89" s="268" t="str"><f>Translation!A94</f><v>Centralized energy services</v></c><c r="D89" s="269"/><c r="E89" s="269"/><c r="F89" s="270"/><c r="G89" s="268" t="str"><f>Translation!A98</f><v>Fossil fuels</v></c><c r="H89" s="269"/><c r="I89" s="269"/><c r="J89" s="269"/><c r="K89" s="269"/><c r="L89" s="269"/><c r="M89" s="270"/><c r="N89" s="268" t="str"><f>Translation!A105</f><v>Renewable energy sources (excluding electricity and heat sold to public networks)</v></c><c r="O89" s="269"/><c r="P89" s="269"/><c r="Q89" s="269"/><c r="R89" s="269"/><c r="S89" s="269"/><c r="T89" s="270"/><c r="U89" s="271" t="str"><f>Translation!A118</f><v>TOTAL</v></c></row><row r="90" spans="1:32" s="55" customFormat="1" ht="67.5" customHeight="1"><c r="B90" s="65" t="str"><f>Translation!A58</f><v>Sector description</v></c><c r="C90" s="230" t="str"><f>Translation!A95</f><v>Electricity from public grid</v></c><c r="D90" s="230" t="str"><f>Translation!A96</f><v>Heat from district heating</v></c><c r="E90" s="230" t="str"><f>Translation!A97</f><v>Cold from district cooling</v></c><c r="F90" s="230" t="str"><f>Translation!A116</f><v>Subtotal</v></c><c r="G90" s="230" t="str"><f>Translation!A99</f><v>Fueloil</v></c><c r="H90" s="230" t="str"><f>Translation!A100</f><v>Diesel</v></c><c r="I90" s="230" t="str"><f>Translation!A101</f><v>Gasoline</v></c><c r="J90" s="230" t="str"><f>Translation!A102</f><v>LPG</v></c><c r="K90" s="230" t="str"><f>Translation!A103</f><v>Natural gas</v></c><c r="L90" s="230" t="str"><f>Translation!A104</f><v>Coal</v></c><c r="M90" s="230" t="str"><f>Translation!A116</f><v>Subtotal</v></c><c r="N90" s="230" t="str"><f>Translation!A108</f><v>Hydro</v></c><c r="O90" s="230" t="str"><f>Translation!A109</f><v>Wind</v></c><c r="P90" s="230" t="str"><f>Translation!A110</f><v>Solar</v></c><c r="Q90" s="230" t="str"><f>Translation!A111</f><v>Geothermal</v></c><c r="R90" s="230" t="str"><f>Translation!A112</f><v>Ocean</v></c><c r="S90" s="230" t="str"><f>Translation!A113</f><v>Biomass</v></c><c r="T90" s="230" t="str"><f>Translation!A116</f><v>Subtotal</v></c><c r="U90" s="272"/></row><row r="91" spans="1:32" s="21" customFormat="1" ht="15.75"><c r="A91" s="22"/><c r="B91" s="70" t="str"><f>Translation!A59</f><v>RESIDENTIAL</v></c><c r="C91" s="68"><f>SUM(C92:C100)</f><v>106527.80580736682</v></c><c r="D91" s="68"><f>SUM(D92:D100)</f><v>0</v></c><c r="E91" s="68"><f>SUM(E92:E100)</f><v>0</v></c><c r="F91" s="68"><f t="shared" ref="F91:F122" si="27">SUM(C91:E91)</f><v>106527.80580736682</v></c><c r="G91" s="68"><f t="shared" ref="G91:L91" si="28">SUM(G92:G100)</f><v>24560.017187900045</v></c><c r="H91" s="68"><f t="shared" si="28"/><v>0</v></c><c r="I91" s="68"><f t="shared" si="28"/><v>0</v></c><c r="J91" s="68"><f t="shared" si="28"/><v>3025.317203643508</v></c><c r="K91" s="68"><f t="shared" si="28"/><v>0</v></c><c r="L91" s="68"><f t="shared" si="28"/><v>0</v></c><c r="M91" s="68"><f t="shared" ref="M91:M122" si="29">SUM(G91:L91)</f><v>27585.334391543554</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134113.14019891038</v></c></row><row r="92" spans="1:32" s="21" customFormat="1" ht="15.75"><c r="A92" s="22"/><c r="B92" s="197" t="str"><f>Translation!A60</f><v>Hot water</v></c><c r="C92" s="200"><f t="shared" ref="C92:C100" si="33">IF(C$48&gt;0, ($S$128+$V$137)/C$48,0)*C18</f><v>3195.8341742210055</v></c><c r="D92" s="200"><f t="shared" ref="D92:D100" si="34">IF(D$48&gt;0, ($S$129)/D$48,0)*D18</f><v>0</v></c><c r="E92" s="200"><f t="shared" ref="E92:E100" si="35">IF(E$48&gt;0, ($S$130)/E$48,0)*E18</f><v>0</v></c><c r="F92" s="68"><f t="shared" si="27"/><v>3195.8341742210055</v></c><c r="G92" s="200"><f>'CO2 factors'!C$7*G18</f><v>1414.6740086577342</v></c><c r="H92" s="200"><f>'CO2 factors'!D$7*H18</f><v>0</v></c><c r="I92" s="200"><f>'CO2 factors'!E$7*I18</f><v>0</v></c><c r="J92" s="200"><f>'CO2 factors'!F$7*J18</f><v>86.923134172518175</v></c><c r="K92" s="200"><f>'CO2 factors'!G$7*K18</f><v>0</v></c><c r="L92" s="200"><f>'CO2 factors'!H$7*L18</f><v>0</v></c><c r="M92" s="68"><f t="shared" si="29"/><v>1501.5971428302523</v></c><c r="N92" s="200"><f>'CO2 factors'!J$7*N18</f><v>0</v></c><c r="O92" s="200"><f>'CO2 factors'!K$7*O18</f><v>0</v></c><c r="P92" s="200"><f>'CO2 factors'!L$7*P18</f><v>0</v></c><c r="Q92" s="200"><f>'CO2 factors'!M$7*Q18</f><v>0</v></c><c r="R92" s="200"><f>'CO2 factors'!N$7*R18</f><v>0</v></c><c r="S92" s="200"><f>'CO2 factors'!O$7*S18</f><v>0</v></c><c r="T92" s="68"><f t="shared" si="31"/><v>0</v></c><c r="U92" s="68"><f t="shared" si="32"/><v>4697.4313170512578</v></c></row><row r="93" spans="1:32" s="21" customFormat="1" ht="15.75"><c r="A93" s="22"/><c r="B93" s="197" t="str"><f>Translation!A61</f><v>Heating and cooling</v></c><c r="C93" s="200"><f t="shared" si="33"/><v>76700.020181304106</v></c><c r="D93" s="200"><f t="shared" si="34"/><v>0</v></c><c r="E93" s="200"><f t="shared" si="35"/><v>0</v></c><c r="F93" s="68"><f t="shared" si="27"/><v>76700.020181304106</v></c><c r="G93" s="200"><f>'CO2 factors'!C$7*G19</f><v>23145.343179242311</v></c><c r="H93" s="200"><f>'CO2 factors'!D$7*H19</f><v>0</v></c><c r="I93" s="200"><f>'CO2 factors'!E$7*I19</f><v>0</v></c><c r="J93" s="200"><f>'CO2 factors'!F$7*J19</f><v>2342.3497208594367</v></c><c r="K93" s="200"><f>'CO2 factors'!G$7*K19</f><v>0</v></c><c r="L93" s="200"><f>'CO2 factors'!H$7*L19</f><v>0</v></c><c r="M93" s="68"><f t="shared" si="29"/><v>25487.692900101749</v></c><c r="N93" s="200"><f>'CO2 factors'!J$7*N19</f><v>0</v></c><c r="O93" s="200"><f>'CO2 factors'!K$7*O19</f><v>0</v></c><c r="P93" s="200"><f>'CO2 factors'!L$7*P19</f><v>0</v></c><c r="Q93" s="200"><f>'CO2 factors'!M$7*Q19</f><v>0</v></c><c r="R93" s="200"><f>'CO2 factors'!N$7*R19</f><v>0</v></c><c r="S93" s="200"><f>'CO2 factors'!O$7*S19</f><v>0</v></c><c r="T93" s="68"><f t="shared" si="31"/><v>0</v></c><c r="U93" s="68"><f t="shared" si="32"/><v>102187.71308140585</v></c></row><row r="94" spans="1:32" s="21" customFormat="1" ht="15.75"><c r="A94" s="22"/><c r="B94" s="197" t="str"><f>Translation!A62</f><v>Lighting</v></c><c r="C94" s="200"><f t="shared" si="33"/><v>4261.112232294674</v></c><c r="D94" s="200"><f t="shared" si="34"/><v>0</v></c><c r="E94" s="200"><f t="shared" si="35"/><v>0</v></c><c r="F94" s="68"><f t="shared" si="27"/><v>4261.112232294674</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4261.112232294674</v></c></row><row r="95" spans="1:32" s="21" customFormat="1" ht="15.75"><c r="A95" s="22"/><c r="B95" s="197" t="str"><f>Translation!A63</f><v>Cooking</v></c><c r="C95" s="200"><f t="shared" si="33"/><v>3195.8341742210055</v></c><c r="D95" s="200"><f t="shared" si="34"/><v>0</v></c><c r="E95" s="200"><f t="shared" si="35"/><v>0</v></c><c r="F95" s="68"><f t="shared" si="27"/><v>3195.8341742210055</v></c><c r="G95" s="200"><f>'CO2 factors'!C$7*G21</f><v>0</v></c><c r="H95" s="200"><f>'CO2 factors'!D$7*H21</f><v>0</v></c><c r="I95" s="200"><f>'CO2 factors'!E$7*I21</f><v>0</v></c><c r="J95" s="200"><f>'CO2 factors'!F$7*J21</f><v>596.04434861155323</v></c><c r="K95" s="200"><f>'CO2 factors'!G$7*K21</f><v>0</v></c><c r="L95" s="200"><f>'CO2 factors'!H$7*L21</f><v>0</v></c><c r="M95" s="68"><f t="shared" si="29"/><v>596.04434861155323</v></c><c r="N95" s="200"><f>'CO2 factors'!J$7*N21</f><v>0</v></c><c r="O95" s="200"><f>'CO2 factors'!K$7*O21</f><v>0</v></c><c r="P95" s="200"><f>'CO2 factors'!L$7*P21</f><v>0</v></c><c r="Q95" s="200"><f>'CO2 factors'!M$7*Q21</f><v>0</v></c><c r="R95" s="200"><f>'CO2 factors'!N$7*R21</f><v>0</v></c><c r="S95" s="200"><f>'CO2 factors'!O$7*S21</f><v>0</v></c><c r="T95" s="68"><f t="shared" si="31"/><v>0</v></c><c r="U95" s="68"><f t="shared" si="32"/><v>3791.8785228325587</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19175.005045326026</v></c><c r="D100" s="200"><f t="shared" si="34"/><v>0</v></c><c r="E100" s="200"><f t="shared" si="35"/><v>0</v></c><c r="F100" s="68"><f t="shared" si="27"/><v>19175.005045326026</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19175.005045326026</v></c></row><row r="101" spans="1:21" s="21" customFormat="1" ht="15.75"><c r="A101" s="22"/><c r="B101" s="70" t="str"><f>Translation!A69</f><v>PRIMARY SECTOR</v></c><c r="C101" s="68"><f>SUM(C102:C103)</f><v>687.80013650156889</v></c><c r="D101" s="68"><f>SUM(D102:D103)</f><v>0</v></c><c r="E101" s="68"><f>SUM(E102:E103)</f><v>0</v></c><c r="F101" s="68"><f t="shared" si="27"/><v>687.80013650156889</v></c><c r="G101" s="68"><f t="shared" ref="G101:L101" si="36">SUM(G102:G103)</f><v>93.782662152148887</v></c><c r="H101" s="68"><f t="shared" si="36"/><v>0</v></c><c r="I101" s="68"><f t="shared" si="36"/><v>0</v></c><c r="J101" s="68"><f t="shared" si="36"/><v>58.907288703928728</v></c><c r="K101" s="68"><f t="shared" si="36"/><v>0</v></c><c r="L101" s="68"><f t="shared" si="36"/><v>0</v></c><c r="M101" s="68"><f t="shared" si="29"/><v>152.68995085607762</v></c><c r="N101" s="68"><f t="shared" ref="N101:S101" si="37">SUM(N102:N103)</f><v>0</v></c><c r="O101" s="68"><f t="shared" si="37"/><v>0</v></c><c r="P101" s="68"><f t="shared" si="37"/><v>0</v></c><c r="Q101" s="68"><f t="shared" si="37"/><v>0</v></c><c r="R101" s="68"><f t="shared" si="37"/><v>0</v></c><c r="S101" s="68"><f t="shared" si="37"/><v>0</v></c><c r="T101" s="68"><f t="shared" si="31"/><v>0</v></c><c r="U101" s="68"><f t="shared" si="32"/><v>840.49008735764653</v></c></row><row r="102" spans="1:21" s="21" customFormat="1" ht="15.75"><c r="A102" s="22"/><c r="B102" s="198" t="str"><f>Translation!A70</f><v>Agriculture, forestry and fishing</v></c><c r="C102" s="200"><f>IF(C$48&gt;0, ($S$128+$V$137)/C$48,0)*C28</f><v>687.80013650156889</v></c><c r="D102" s="200"><f>IF(D$48&gt;0, ($S$129)/D$48,0)*D28</f><v>0</v></c><c r="E102" s="200"><f>IF(E$48&gt;0, ($S$130)/E$48,0)*E28</f><v>0</v></c><c r="F102" s="68"><f t="shared" si="27"/><v>687.80013650156889</v></c><c r="G102" s="200"><f>'CO2 factors'!C$7*G28</f><v>93.782662152148887</v></c><c r="H102" s="200"><f>'CO2 factors'!D$7*H28</f><v>0</v></c><c r="I102" s="200"><f>'CO2 factors'!E$7*I28</f><v>0</v></c><c r="J102" s="200"><f>'CO2 factors'!F$7*J28</f><v>58.907288703928728</v></c><c r="K102" s="200"><f>'CO2 factors'!G$7*K28</f><v>0</v></c><c r="L102" s="200"><f>'CO2 factors'!H$7*L28</f><v>0</v></c><c r="M102" s="68"><f t="shared" si="29"/><v>152.68995085607762</v></c><c r="N102" s="200"><f>'CO2 factors'!J$7*N28</f><v>0</v></c><c r="O102" s="200"><f>'CO2 factors'!K$7*O28</f><v>0</v></c><c r="P102" s="200"><f>'CO2 factors'!L$7*P28</f><v>0</v></c><c r="Q102" s="200"><f>'CO2 factors'!M$7*Q28</f><v>0</v></c><c r="R102" s="200"><f>'CO2 factors'!N$7*R28</f><v>0</v></c><c r="S102" s="200"><f>'CO2 factors'!O$7*S28</f><v>0</v></c><c r="T102" s="68"><f t="shared" si="31"/><v>0</v></c><c r="U102" s="68"><f t="shared" si="32"/><v>840.49008735764653</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17202.351659993583</v></c><c r="D104" s="68"><f>SUM(D105:D107)</f><v>0</v></c><c r="E104" s="68"><f>SUM(E105:E107)</f><v>0</v></c><c r="F104" s="68"><f t="shared" si="27"/><v>17202.351659993583</v></c><c r="G104" s="68"><f t="shared" ref="G104:L104" si="38">SUM(G105:G107)</f><v>5284.6162728392965</v></c><c r="H104" s="68"><f t="shared" si="38"/><v>0</v></c><c r="I104" s="68"><f t="shared" si="38"/><v>0</v></c><c r="J104" s="68"><f t="shared" si="38"/><v>1469.9930331992393</v></c><c r="K104" s="68"><f t="shared" si="38"/><v>0</v></c><c r="L104" s="68"><f t="shared" si="38"/><v>0</v></c><c r="M104" s="68"><f t="shared" si="29"/><v>6754.6093060385356</v></c><c r="N104" s="68"><f t="shared" ref="N104:S104" si="39">SUM(N105:N107)</f><v>0</v></c><c r="O104" s="68"><f t="shared" si="39"/><v>0</v></c><c r="P104" s="68"><f t="shared" si="39"/><v>0</v></c><c r="Q104" s="68"><f t="shared" si="39"/><v>0</v></c><c r="R104" s="68"><f t="shared" si="39"/><v>0</v></c><c r="S104" s="68"><f t="shared" si="39"/><v>0</v></c><c r="T104" s="68"><f t="shared" si="31"/><v>0</v></c><c r="U104" s="68"><f t="shared" si="32"/><v>23956.960966032118</v></c></row><row r="105" spans="1:21" s="21" customFormat="1" ht="15.75"><c r="A105" s="22"/><c r="B105" s="198" t="str"><f>Translation!A73</f><v>Manufacturing</v></c><c r="C105" s="200"><f>IF(C$48&gt;0, ($S$128+$V$137)/C$48,0)*C31</f><v>16056.029296261695</v></c><c r="D105" s="200"><f>IF(D$48&gt;0, ($S$129)/D$48,0)*D31</f><v>0</v></c><c r="E105" s="200"><f>IF(E$48&gt;0, ($S$130)/E$48,0)*E31</f><v>0</v></c><c r="F105" s="68"><f t="shared" si="27"/><v>16056.029296261695</v></c><c r="G105" s="200"><f>'CO2 factors'!C$7*G31</f><v>4932.4624547432777</v></c><c r="H105" s="200"><f>'CO2 factors'!D$7*H31</f><v>0</v></c><c r="I105" s="200"><f>'CO2 factors'!E$7*I31</f><v>0</v></c><c r="J105" s="200"><f>'CO2 factors'!F$7*J31</f><v>1372.0363164786265</v></c><c r="K105" s="200"><f>'CO2 factors'!G$7*K31</f><v>0</v></c><c r="L105" s="200"><f>'CO2 factors'!H$7*L31</f><v>0</v></c><c r="M105" s="68"><f t="shared" si="29"/><v>6304.4987712219045</v></c><c r="N105" s="200"><f>'CO2 factors'!J$7*N31</f><v>0</v></c><c r="O105" s="200"><f>'CO2 factors'!K$7*O31</f><v>0</v></c><c r="P105" s="200"><f>'CO2 factors'!L$7*P31</f><v>0</v></c><c r="Q105" s="200"><f>'CO2 factors'!M$7*Q31</f><v>0</v></c><c r="R105" s="200"><f>'CO2 factors'!N$7*R31</f><v>0</v></c><c r="S105" s="200"><f>'CO2 factors'!O$7*S31</f><v>0</v></c><c r="T105" s="68"><f t="shared" si="31"/><v>0</v></c><c r="U105" s="68"><f t="shared" si="32"/><v>22360.528067483599</v></c></row><row r="106" spans="1:21" s="21" customFormat="1" ht="30"><c r="A106" s="22"/><c r="B106" s="198" t="str"><f>Translation!A74</f><v>Water supply, sewerage, waste management and remediation activities</v></c><c r="C106" s="200"><f>IF(C$48&gt;0, ($S$128+$V$137)/C$48,0)*C32</f><v>542.9467824576052</v></c><c r="D106" s="200"><f>IF(D$48&gt;0, ($S$129)/D$48,0)*D32</f><v>0</v></c><c r="E106" s="200"><f>IF(E$48&gt;0, ($S$130)/E$48,0)*E32</f><v>0</v></c><c r="F106" s="68"><f t="shared" si="27"/><v>542.9467824576052</v></c><c r="G106" s="200"><f>'CO2 factors'!C$7*G32</f><v>166.79495097952602</v></c><c r="H106" s="200"><f>'CO2 factors'!D$7*H32</f><v>0</v></c><c r="I106" s="200"><f>'CO2 factors'!E$7*I32</f><v>0</v></c><c r="J106" s="200"><f>'CO2 factors'!F$7*J32</f><v>46.396446450212871</v></c><c r="K106" s="200"><f>'CO2 factors'!G$7*K32</f><v>0</v></c><c r="L106" s="200"><f>'CO2 factors'!H$7*L32</f><v>0</v></c><c r="M106" s="68"><f t="shared" si="29"/><v>213.19139742973888</v></c><c r="N106" s="200"><f>'CO2 factors'!J$7*N32</f><v>0</v></c><c r="O106" s="200"><f>'CO2 factors'!K$7*O32</f><v>0</v></c><c r="P106" s="200"><f>'CO2 factors'!L$7*P32</f><v>0</v></c><c r="Q106" s="200"><f>'CO2 factors'!M$7*Q32</f><v>0</v></c><c r="R106" s="200"><f>'CO2 factors'!N$7*R32</f><v>0</v></c><c r="S106" s="200"><f>'CO2 factors'!O$7*S32</f><v>0</v></c><c r="T106" s="68"><f t="shared" si="31"/><v>0</v></c><c r="U106" s="68"><f t="shared" si="32"/><v>756.13817988734411</v></c></row><row r="107" spans="1:21" s="21" customFormat="1" ht="15.75"><c r="A107" s="22"/><c r="B107" s="198" t="str"><f>Translation!A75</f><v>Construction</v></c><c r="C107" s="200"><f>IF(C$48&gt;0, ($S$128+$V$137)/C$48,0)*C33</f><v>603.37558127428019</v></c><c r="D107" s="200"><f>IF(D$48&gt;0, ($S$129)/D$48,0)*D33</f><v>0</v></c><c r="E107" s="200"><f>IF(E$48&gt;0, ($S$130)/E$48,0)*E33</f><v>0</v></c><c r="F107" s="68"><f t="shared" si="27"/><v>603.37558127428019</v></c><c r="G107" s="80"><f>'CO2 factors'!C$7*G33</f><v>185.35886711649283</v></c><c r="H107" s="80"><f>'CO2 factors'!D$7*H33</f><v>0</v></c><c r="I107" s="80"><f>'CO2 factors'!E$7*I33</f><v>0</v></c><c r="J107" s="80"><f>'CO2 factors'!F$7*J33</f><v>51.560270270400011</v></c><c r="K107" s="80"><f>'CO2 factors'!G$7*K33</f><v>0</v></c><c r="L107" s="80"><f>'CO2 factors'!H$7*L33</f><v>0</v></c><c r="M107" s="68"><f t="shared" si="29"/><v>236.91913738689283</v></c><c r="N107" s="80"><f>'CO2 factors'!J$7*N33</f><v>0</v></c><c r="O107" s="80"><f>'CO2 factors'!K$7*O33</f><v>0</v></c><c r="P107" s="80"><f>'CO2 factors'!L$7*P33</f><v>0</v></c><c r="Q107" s="80"><f>'CO2 factors'!M$7*Q33</f><v>0</v></c><c r="R107" s="80"><f>'CO2 factors'!N$7*R33</f><v>0</v></c><c r="S107" s="80"><f>'CO2 factors'!O$7*S33</f><v>0</v></c><c r="T107" s="68"><f t="shared" si="31"/><v>0</v></c><c r="U107" s="68"><f t="shared" si="32"/><v>840.29471866117296</v></c></row><row r="108" spans="1:21" s="21" customFormat="1" ht="15.75"><c r="A108" s="22"/><c r="B108" s="65" t="str"><f>Translation!A76</f><v>TERTIARY SECTOR</v></c><c r="C108" s="68"><f>SUM(C109:C116)</f><v>128141.21919091525</v></c><c r="D108" s="68"><f>SUM(D109:D116)</f><v>0</v></c><c r="E108" s="68"><f>SUM(E109:E116)</f><v>0</v></c><c r="F108" s="68"><f t="shared" si="27"/><v>128141.21919091525</v></c><c r="G108" s="68"><f t="shared" ref="G108:L108" si="40">SUM(G109:G116)</f><v>37768.505519911036</v></c><c r="H108" s="68"><f t="shared" si="40"/><v>0</v></c><c r="I108" s="68"><f t="shared" si="40"/><v>0</v></c><c r="J108" s="68"><f t="shared" si="40"/><v>10505.860240782815</v></c><c r="K108" s="68"><f t="shared" si="40"/><v>0</v></c><c r="L108" s="68"><f t="shared" si="40"/><v>0</v></c><c r="M108" s="68"><f t="shared" si="29"/><v>48274.36576069385</v></c><c r="N108" s="68"><f t="shared" ref="N108:S108" si="41">SUM(N109:N116)</f><v>0</v></c><c r="O108" s="68"><f t="shared" si="41"/><v>0</v></c><c r="P108" s="68"><f t="shared" si="41"/><v>0</v></c><c r="Q108" s="68"><f t="shared" si="41"/><v>0</v></c><c r="R108" s="68"><f t="shared" si="41"/><v>0</v></c><c r="S108" s="68"><f t="shared" si="41"/><v>0</v></c><c r="T108" s="68"><f t="shared" si="31"/><v>0</v></c><c r="U108" s="68"><f t="shared" si="32"/><v>176415.58495160908</v></c></row><row r="109" spans="1:21" s="21" customFormat="1" ht="30"><c r="A109" s="22"/><c r="B109" s="198" t="str"><f>Translation!A77</f><v xml:space="preserve">Wholesale and retail trade; repair of motor vehicles and motorcycles </v></c><c r="C109" s="200"><f t="shared" ref="C109:C116" si="42">IF(C$48&gt;0, ($S$128+$V$137)/C$48,0)*C35</f><v>43388.396475755268</v></c><c r="D109" s="200"><f t="shared" ref="D109:D116" si="43">IF(D$48&gt;0, ($S$129)/D$48,0)*D35</f><v>0</v></c><c r="E109" s="200"><f t="shared" ref="E109:E116" si="44">IF(E$48&gt;0, ($S$130)/E$48,0)*E35</f><v>0</v></c><c r="F109" s="68"><f t="shared" si="27"/><v>43388.396475755268</v></c><c r="G109" s="200"><f>'CO2 factors'!C$7*G35</f><v>13329.051201843937</v></c><c r="H109" s="200"><f>'CO2 factors'!D$7*H35</f><v>0</v></c><c r="I109" s="200"><f>'CO2 factors'!E$7*I35</f><v>0</v></c><c r="J109" s="200"><f>'CO2 factors'!F$7*J35</f><v>3707.6698466394719</v></c><c r="K109" s="200"><f>'CO2 factors'!G$7*K35</f><v>0</v></c><c r="L109" s="200"><f>'CO2 factors'!H$7*L35</f><v>0</v></c><c r="M109" s="68"><f t="shared" si="29"/><v>17036.721048483407</v></c><c r="N109" s="200"><f>'CO2 factors'!J$7*N35</f><v>0</v></c><c r="O109" s="200"><f>'CO2 factors'!K$7*O35</f><v>0</v></c><c r="P109" s="200"><f>'CO2 factors'!L$7*P35</f><v>0</v></c><c r="Q109" s="200"><f>'CO2 factors'!M$7*Q35</f><v>0</v></c><c r="R109" s="200"><f>'CO2 factors'!N$7*R35</f><v>0</v></c><c r="S109" s="200"><f>'CO2 factors'!O$7*S35</f><v>0</v></c><c r="T109" s="68"><f t="shared" si="31"/><v>0</v></c><c r="U109" s="68"><f t="shared" si="32"/><v>60425.117524238674</v></c></row><row r="110" spans="1:21" s="21" customFormat="1" ht="15.75"><c r="A110" s="22"/><c r="B110" s="198" t="str"><f>Translation!A78</f><v>Accomodation and food service activities</v></c><c r="C110" s="200"><f t="shared" si="42"/><v>5514.1648211578795</v></c><c r="D110" s="200"><f t="shared" si="43"/><v>0</v></c><c r="E110" s="200"><f t="shared" si="44"/><v>0</v></c><c r="F110" s="68"><f t="shared" si="27"/><v>5514.1648211578795</v></c><c r="G110" s="200"><f>'CO2 factors'!C$7*G36</f><v>1693.9686922444757</v></c><c r="H110" s="200"><f>'CO2 factors'!D$7*H36</f><v>0</v></c><c r="I110" s="200"><f>'CO2 factors'!E$7*I36</f><v>0</v></c><c r="J110" s="200"><f>'CO2 factors'!F$7*J36</f><v>471.20207929858339</v></c><c r="K110" s="200"><f>'CO2 factors'!G$7*K36</f><v>0</v></c><c r="L110" s="200"><f>'CO2 factors'!H$7*L36</f><v>0</v></c><c r="M110" s="68"><f t="shared" si="29"/><v>2165.1707715430593</v></c><c r="N110" s="200"><f>'CO2 factors'!J$7*N36</f><v>0</v></c><c r="O110" s="200"><f>'CO2 factors'!K$7*O36</f><v>0</v></c><c r="P110" s="200"><f>'CO2 factors'!L$7*P36</f><v>0</v></c><c r="Q110" s="200"><f>'CO2 factors'!M$7*Q36</f><v>0</v></c><c r="R110" s="200"><f>'CO2 factors'!N$7*R36</f><v>0</v></c><c r="S110" s="200"><f>'CO2 factors'!O$7*S36</f><v>0</v></c><c r="T110" s="68"><f t="shared" si="31"/><v>0</v></c><c r="U110" s="68"><f t="shared" si="32"/><v>7679.3355927009388</v></c></row><row r="111" spans="1:21" s="21" customFormat="1" ht="15.75"><c r="A111" s="22"/><c r="B111" s="198" t="str"><f>Translation!A79</f><v>General public administration and social security</v></c><c r="C111" s="200"><f t="shared" si="42"/><v>9234.5459045158823</v></c><c r="D111" s="200"><f t="shared" si="43"/><v>0</v></c><c r="E111" s="200"><f t="shared" si="44"/><v>0</v></c><c r="F111" s="68"><f t="shared" si="27"/><v>9234.5459045158823</v></c><c r="G111" s="200"><f>'CO2 factors'!C$7*G37</f><v>2836.881405742889</v></c><c r="H111" s="200"><f>'CO2 factors'!D$7*H37</f><v>0</v></c><c r="I111" s="200"><f>'CO2 factors'!E$7*I37</f><v>0</v></c><c r="J111" s="200"><f>'CO2 factors'!F$7*J37</f><v>789.11990713262651</v></c><c r="K111" s="200"><f>'CO2 factors'!G$7*K37</f><v>0</v></c><c r="L111" s="200"><f>'CO2 factors'!H$7*L37</f><v>0</v></c><c r="M111" s="68"><f t="shared" si="29"/><v>3626.0013128755154</v></c><c r="N111" s="200"><f>'CO2 factors'!J$7*N37</f><v>0</v></c><c r="O111" s="200"><f>'CO2 factors'!K$7*O37</f><v>0</v></c><c r="P111" s="200"><f>'CO2 factors'!L$7*P37</f><v>0</v></c><c r="Q111" s="200"><f>'CO2 factors'!M$7*Q37</f><v>0</v></c><c r="R111" s="200"><f>'CO2 factors'!N$7*R37</f><v>0</v></c><c r="S111" s="200"><f>'CO2 factors'!O$7*S37</f><v>0</v></c><c r="T111" s="68"><f t="shared" si="31"/><v>0</v></c><c r="U111" s="68"><f t="shared" si="32"/><v>12860.547217391399</v></c></row><row r="112" spans="1:21" s="21" customFormat="1" ht="15.75"><c r="A112" s="22"/><c r="B112" s="198" t="str"><f>Translation!A80</f><v>Defense, justice, police and fire departments</v></c><c r="C112" s="200"><f t="shared" si="42"/><v>277.51966377277637</v></c><c r="D112" s="200"><f t="shared" si="43"/><v>0</v></c><c r="E112" s="200"><f t="shared" si="44"/><v>0</v></c><c r="F112" s="68"><f t="shared" si="27"/><v>277.51966377277637</v></c><c r="G112" s="200"><f>'CO2 factors'!C$7*G38</f><v>85.254909339939132</v></c><c r="H112" s="200"><f>'CO2 factors'!D$7*H38</f><v>0</v></c><c r="I112" s="200"><f>'CO2 factors'!E$7*I38</f><v>0</v></c><c r="J112" s="200"><f>'CO2 factors'!F$7*J38</f><v>23.714895520391238</v></c><c r="K112" s="200"><f>'CO2 factors'!G$7*K38</f><v>0</v></c><c r="L112" s="200"><f>'CO2 factors'!H$7*L38</f><v>0</v></c><c r="M112" s="68"><f t="shared" si="29"/><v>108.96980486033037</v></c><c r="N112" s="200"><f>'CO2 factors'!J$7*N38</f><v>0</v></c><c r="O112" s="200"><f>'CO2 factors'!K$7*O38</f><v>0</v></c><c r="P112" s="200"><f>'CO2 factors'!L$7*P38</f><v>0</v></c><c r="Q112" s="200"><f>'CO2 factors'!M$7*Q38</f><v>0</v></c><c r="R112" s="200"><f>'CO2 factors'!N$7*R38</f><v>0</v></c><c r="S112" s="200"><f>'CO2 factors'!O$7*S38</f><v>0</v></c><c r="T112" s="68"><f t="shared" si="31"/><v>0</v></c><c r="U112" s="68"><f t="shared" si="32"/><v>386.48946863310675</v></c></row><row r="113" spans="1:31" s="21" customFormat="1" ht="15.75"><c r="A113" s="22"/><c r="B113" s="198" t="str"><f>Translation!A81</f><v>Education</v></c><c r="C113" s="200"><f t="shared" si="42"/><v>14750.384247822813</v></c><c r="D113" s="200"><f t="shared" si="43"/><v>0</v></c><c r="E113" s="200"><f t="shared" si="44"/><v>0</v></c><c r="F113" s="68"><f t="shared" si="27"/><v>14750.384247822813</v></c><c r="G113" s="200"><f>'CO2 factors'!C$7*G39</f><v>4531.3642092296313</v></c><c r="H113" s="200"><f>'CO2 factors'!D$7*H39</f><v>0</v></c><c r="I113" s="200"><f>'CO2 factors'!E$7*I39</f><v>0</v></c><c r="J113" s="200"><f>'CO2 factors'!F$7*J39</f><v>1260.4649939657975</v></c><c r="K113" s="200"><f>'CO2 factors'!G$7*K39</f><v>0</v></c><c r="L113" s="200"><f>'CO2 factors'!H$7*L39</f><v>0</v></c><c r="M113" s="68"><f t="shared" si="29"/><v>5791.8292031954288</v></c><c r="N113" s="200"><f>'CO2 factors'!J$7*N39</f><v>0</v></c><c r="O113" s="200"><f>'CO2 factors'!K$7*O39</f><v>0</v></c><c r="P113" s="200"><f>'CO2 factors'!L$7*P39</f><v>0</v></c><c r="Q113" s="200"><f>'CO2 factors'!M$7*Q39</f><v>0</v></c><c r="R113" s="200"><f>'CO2 factors'!N$7*R39</f><v>0</v></c><c r="S113" s="200"><f>'CO2 factors'!O$7*S39</f><v>0</v></c><c r="T113" s="68"><f t="shared" si="31"/><v>0</v></c><c r="U113" s="68"><f t="shared" si="32"/><v>20542.21345101824</v></c></row><row r="114" spans="1:31" s="21" customFormat="1" ht="15.75"><c r="A114" s="22"/><c r="B114" s="198" t="str"><f>Translation!A82</f><v>Human health and social work activities</v></c><c r="C114" s="200"><f t="shared" si="42"/><v>10362.746471265365</v></c><c r="D114" s="200"><f t="shared" si="43"/><v>0</v></c><c r="E114" s="200"><f t="shared" si="44"/><v>0</v></c><c r="F114" s="68"><f t="shared" si="27"/><v>10362.746471265365</v></c><c r="G114" s="200"><f>'CO2 factors'!C$7*G40</f><v>3183.4681510851847</v></c><c r="H114" s="200"><f>'CO2 factors'!D$7*H40</f><v>0</v></c><c r="I114" s="200"><f>'CO2 factors'!E$7*I40</f><v>0</v></c><c r="J114" s="200"><f>'CO2 factors'!F$7*J40</f><v>885.52806143341957</v></c><c r="K114" s="200"><f>'CO2 factors'!G$7*K40</f><v>0</v></c><c r="L114" s="200"><f>'CO2 factors'!H$7*L40</f><v>0</v></c><c r="M114" s="68"><f t="shared" si="29"/><v>4068.9962125186044</v></c><c r="N114" s="200"><f>'CO2 factors'!J$7*N40</f><v>0</v></c><c r="O114" s="200"><f>'CO2 factors'!K$7*O40</f><v>0</v></c><c r="P114" s="200"><f>'CO2 factors'!L$7*P40</f><v>0</v></c><c r="Q114" s="200"><f>'CO2 factors'!M$7*Q40</f><v>0</v></c><c r="R114" s="200"><f>'CO2 factors'!N$7*R40</f><v>0</v></c><c r="S114" s="200"><f>'CO2 factors'!O$7*S40</f><v>0</v></c><c r="T114" s="68"><f t="shared" si="31"/><v>0</v></c><c r="U114" s="68"><f t="shared" si="32"/><v>14431.74268378397</v></c></row><row r="115" spans="1:31" s="21" customFormat="1" ht="15.75"><c r="A115" s="22"/><c r="B115" s="198" t="str"><f>Translation!A83</f><v>Other services</v></c><c r="C115" s="200"><f t="shared" si="42"/><v>39415.34368971159</v></c><c r="D115" s="200"><f t="shared" si="43"/><v>0</v></c><c r="E115" s="200"><f t="shared" si="44"/><v>0</v></c><c r="F115" s="68"><f t="shared" si="27"/><v>39415.34368971159</v></c><c r="G115" s="200"><f>'CO2 factors'!C$7*G41</f><v>12108.516950424977</v></c><c r="H115" s="200"><f>'CO2 factors'!D$7*H41</f><v>0</v></c><c r="I115" s="200"><f>'CO2 factors'!E$7*I41</f><v>0</v></c><c r="J115" s="200"><f>'CO2 factors'!F$7*J41</f><v>3368.1604567925251</v></c><c r="K115" s="200"><f>'CO2 factors'!G$7*K41</f><v>0</v></c><c r="L115" s="200"><f>'CO2 factors'!H$7*L41</f><v>0</v></c><c r="M115" s="68"><f t="shared" si="29"/><v>15476.677407217503</v></c><c r="N115" s="200"><f>'CO2 factors'!J$7*N41</f><v>0</v></c><c r="O115" s="200"><f>'CO2 factors'!K$7*O41</f><v>0</v></c><c r="P115" s="200"><f>'CO2 factors'!L$7*P41</f><v>0</v></c><c r="Q115" s="200"><f>'CO2 factors'!M$7*Q41</f><v>0</v></c><c r="R115" s="200"><f>'CO2 factors'!N$7*R41</f><v>0</v></c><c r="S115" s="200"><f>'CO2 factors'!O$7*S41</f><v>0</v></c><c r="T115" s="68"><f t="shared" si="31"/><v>0</v></c><c r="U115" s="68"><f t="shared" si="32"/><v>54892.021096929093</v></c></row><row r="116" spans="1:31" s="21" customFormat="1" ht="15.75"><c r="A116" s="22"/><c r="B116" s="198" t="str"><f>Translation!A84</f><v>Public lighting</v></c><c r="C116" s="200"><f t="shared" si="42"/><v>5198.1179169136767</v></c><c r="D116" s="200"><f t="shared" si="43"/><v>0</v></c><c r="E116" s="200"><f t="shared" si="44"/><v>0</v></c><c r="F116" s="68"><f t="shared" si="27"/><v>5198.1179169136767</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5198.1179169136767</v></c></row><row r="117" spans="1:31" s="21" customFormat="1" ht="15.75"><c r="A117" s="22"/><c r="B117" s="65" t="str"><f>Translation!A85</f><v>TRANSPORTS</v></c><c r="C117" s="68"><f>SUM(C118:C121)</f><v>23.714205222759421</v></c><c r="D117" s="68"><f>SUM(D118:D121)</f><v>0</v></c><c r="E117" s="68"><f>SUM(E118:E121)</f><v>0</v></c><c r="F117" s="68"><f t="shared" si="27"/><v>23.714205222759421</v></c><c r="G117" s="68"><f t="shared" ref="G117:L117" si="45">SUM(G118:G121)</f><v>0</v></c><c r="H117" s="68"><f t="shared" si="45"/><v>74080.056697148626</v></c><c r="I117" s="68"><f t="shared" si="45"/><v>91472.587713279019</v></c><c r="J117" s="68"><f t="shared" si="45"/><v>0</v></c><c r="K117" s="68"><f t="shared" si="45"/><v>0</v></c><c r="L117" s="68"><f t="shared" si="45"/><v>0</v></c><c r="M117" s="68"><f t="shared" si="29"/><v>165552.64441042766</v></c><c r="N117" s="68"><f t="shared" ref="N117:S117" si="46">SUM(N118:N121)</f><v>0</v></c><c r="O117" s="68"><f t="shared" si="46"/><v>0</v></c><c r="P117" s="68"><f t="shared" si="46"/><v>0</v></c><c r="Q117" s="68"><f t="shared" si="46"/><v>0</v></c><c r="R117" s="68"><f t="shared" si="46"/><v>0</v></c><c r="S117" s="68"><f t="shared" si="46"/><v>0</v></c><c r="T117" s="68"><f t="shared" si="31"/><v>0</v></c><c r="U117" s="68"><f t="shared" si="32"/><v>165576.35861565042</v></c></row><row r="118" spans="1:31" s="21" customFormat="1" ht="30"><c r="A118" s="22"/><c r="B118" s="198" t="str"><f>Translation!A86</f><v>Passenger road transport and other passenger road transport services (public transports, taxi, tourism, school buses, etc.)</v></c><c r="C118" s="200"><f>IF(C$48&gt;0, ($S$128+$V$137)/C$48,0)*C44</f><v>23.714205222759421</v></c><c r="D118" s="200"><f>IF(D$48&gt;0, ($S$129)/D$48,0)*D44</f><v>0</v></c><c r="E118" s="200"><f>IF(E$48&gt;0, ($S$130)/E$48,0)*E44</f><v>0</v></c><c r="F118" s="68"><f t="shared" si="27"/><v>23.714205222759421</v></c><c r="G118" s="200"><f>'CO2 factors'!C$7*G44</f><v>0</v></c><c r="H118" s="200"><f>'CO2 factors'!D$7*H44</f><v>1380.2904348949371</v></c><c r="I118" s="200"><f>'CO2 factors'!E$7*I44</f><v>1704.3553083644842</v></c><c r="J118" s="200"><f>'CO2 factors'!F$7*J44</f><v>0</v></c><c r="K118" s="200"><f>'CO2 factors'!G$7*K44</f><v>0</v></c><c r="L118" s="200"><f>'CO2 factors'!H$7*L44</f><v>0</v></c><c r="M118" s="68"><f t="shared" si="29"/><v>3084.6457432594216</v></c><c r="N118" s="200"><f>'CO2 factors'!J$7*N44</f><v>0</v></c><c r="O118" s="200"><f>'CO2 factors'!K$7*O44</f><v>0</v></c><c r="P118" s="200"><f>'CO2 factors'!L$7*P44</f><v>0</v></c><c r="Q118" s="200"><f>'CO2 factors'!M$7*Q44</f><v>0</v></c><c r="R118" s="200"><f>'CO2 factors'!N$7*R44</f><v>0</v></c><c r="S118" s="200"><f>'CO2 factors'!O$7*S44</f><v>0</v></c><c r="T118" s="68"><f t="shared" si="31"/><v>0</v></c><c r="U118" s="68"><f t="shared" si="32"/><v>3108.3599484821812</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22084.646958318994</v></c><c r="I119" s="200"><f>'CO2 factors'!E$7*I45</f><v>27269.684933831748</v></c><c r="J119" s="200"><f>'CO2 factors'!F$7*J45</f><v>0</v></c><c r="K119" s="200"><f>'CO2 factors'!G$7*K45</f><v>0</v></c><c r="L119" s="200"><f>'CO2 factors'!H$7*L45</f><v>0</v></c><c r="M119" s="68"><f t="shared" si="29"/><v>49354.331892150745</v></c><c r="N119" s="200"><f>'CO2 factors'!J$7*N45</f><v>0</v></c><c r="O119" s="200"><f>'CO2 factors'!K$7*O45</f><v>0</v></c><c r="P119" s="200"><f>'CO2 factors'!L$7*P45</f><v>0</v></c><c r="Q119" s="200"><f>'CO2 factors'!M$7*Q45</f><v>0</v></c><c r="R119" s="200"><f>'CO2 factors'!N$7*R45</f><v>0</v></c><c r="S119" s="200"><f>'CO2 factors'!O$7*S45</f><v>0</v></c><c r="T119" s="68"><f t="shared" si="31"/><v>0</v></c><c r="U119" s="68"><f t="shared" si="32"/><v>49354.331892150745</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50615.119303934691</v></c><c r="I121" s="200"><f>'CO2 factors'!E$7*I47</f><v>62498.547471082784</v></c><c r="J121" s="200"><f>'CO2 factors'!F$7*J47</f><v>0</v></c><c r="K121" s="200"><f>'CO2 factors'!G$7*K47</f><v>0</v></c><c r="L121" s="200"><f>'CO2 factors'!H$7*L47</f><v>0</v></c><c r="M121" s="68"><f t="shared" si="29"/><v>113113.66677501748</v></c><c r="N121" s="200"><f>'CO2 factors'!J$7*N47</f><v>0</v></c><c r="O121" s="200"><f>'CO2 factors'!K$7*O47</f><v>0</v></c><c r="P121" s="200"><f>'CO2 factors'!L$7*P47</f><v>0</v></c><c r="Q121" s="200"><f>'CO2 factors'!M$7*Q47</f><v>0</v></c><c r="R121" s="200"><f>'CO2 factors'!N$7*R47</f><v>0</v></c><c r="S121" s="200"><f>'CO2 factors'!O$7*S47</f><v>0</v></c><c r="T121" s="68"><f t="shared" si="31"/><v>0</v></c><c r="U121" s="68"><f t="shared" si="32"/><v>113113.66677501748</v></c></row><row r="122" spans="1:31" s="21" customFormat="1" ht="15.75"><c r="A122" s="22"/><c r="B122" s="77" t="str"><f>Translation!A117</f><v>TOTAL FOR INTERNAL MARKET</v></c><c r="C122" s="69"><f>C91+C101+C104+C108+C117</f><v>252582.89099999997</v></c><c r="D122" s="69"><f>D91+D101+D104+D108+D117</f><v>0</v></c><c r="E122" s="69"><f>E91+E101+E104+E108+E117</f><v>0</v></c><c r="F122" s="68"><f t="shared" si="27"/><v>252582.89099999997</v></c><c r="G122" s="69"><f t="shared" ref="G122:L122" si="47">G91+G101+G104+G108+G117</f><v>67706.921642802525</v></c><c r="H122" s="69"><f t="shared" si="47"/><v>74080.056697148626</v></c><c r="I122" s="69"><f t="shared" si="47"/><v>91472.587713279019</v></c><c r="J122" s="69"><f t="shared" si="47"/><v>15060.07776632949</v></c><c r="K122" s="69"><f t="shared" si="47"/><v>0</v></c><c r="L122" s="69"><f t="shared" si="47"/><v>0</v></c><c r="M122" s="68"><f t="shared" si="29"/><v>248319.64381955963</v></c><c r="N122" s="69"><f t="shared" ref="N122:S122" si="48">N91+N101+N104+N108+N117</f><v>0</v></c><c r="O122" s="69"><f t="shared" si="48"/><v>0</v></c><c r="P122" s="69"><f t="shared" si="48"/><v>0</v></c><c r="Q122" s="69"><f t="shared" si="48"/><v>0</v></c><c r="R122" s="69"><f t="shared" si="48"/><v>0</v></c><c r="S122" s="69"><f t="shared" si="48"/><v>0</v></c><c r="T122" s="68"><f t="shared" si="31"/><v>0</v></c><c r="U122" s="68"><f t="shared" si="32"/><v>500902.5348195596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3" t="str"><f>Translation!A120</f><v>PRODUCTION SECTOR</v></c><c r="C125" s="268" t="str"><f>Translation!A142</f><v>PRIMARY ENERGY SOURCE</v></c><c r="D125" s="269"/><c r="E125" s="269"/><c r="F125" s="269"/><c r="G125" s="269"/><c r="H125" s="269"/><c r="I125" s="269"/><c r="J125" s="269"/><c r="K125" s="269"/><c r="L125" s="269"/><c r="M125" s="269"/><c r="N125" s="269"/><c r="O125" s="269"/><c r="P125" s="269"/><c r="Q125" s="269"/><c r="R125" s="269"/><c r="S125" s="270"/><c r="T125" s="64"/><c r="U125" s="303" t="str"><f>Translation!A122</f><v>Energy product</v></c><c r="V125" s="304"/><c r="W125" s="271" t="str"><f>Translation!A149</f><v>CO2 EMISSION FACTORS</v></c><c r="X125" s="61"/><c r="Y125" s="61"/><c r="Z125" s="61"/><c r="AA125" s="61"/><c r="AB125" s="61"/><c r="AC125" s="61"/><c r="AD125" s="61"/><c r="AE125" s="61"/></row><row r="126" spans="1:31" s="55" customFormat="1" ht="15" customHeight="1"><c r="B126" s="274"/><c r="C126" s="268" t="str"><f>Translation!A98</f><v>Fossil fuels</v></c><c r="D126" s="269"/><c r="E126" s="269"/><c r="F126" s="269"/><c r="G126" s="269"/><c r="H126" s="269"/><c r="I126" s="270"/><c r="J126" s="268" t="str"><f>Translation!A107</f><v>Renewable energy sources</v></c><c r="K126" s="269"/><c r="L126" s="269"/><c r="M126" s="269"/><c r="N126" s="269"/><c r="O126" s="269"/><c r="P126" s="269"/><c r="Q126" s="269"/><c r="R126" s="270"/><c r="S126" s="310" t="str"><f>Translation!A118</f><v>TOTAL</v></c><c r="T126" s="64"/><c r="U126" s="305"/><c r="V126" s="306"/><c r="W126" s="309"/><c r="X126" s="61"/><c r="Y126" s="61"/><c r="Z126" s="61"/><c r="AA126" s="61"/><c r="AB126" s="61"/><c r="AC126" s="61"/><c r="AD126" s="61"/><c r="AE126" s="61"/></row><row r="127" spans="1:31" s="55" customFormat="1" ht="69.75" customHeight="1"><c r="B127" s="65" t="str"><f>Translation!A122</f><v>Energy product</v></c><c r="C127" s="230" t="str"><f>Translation!A99</f><v>Fueloil</v></c><c r="D127" s="230" t="str"><f>Translation!A100</f><v>Diesel</v></c><c r="E127" s="230" t="str"><f>Translation!A101</f><v>Gasoline</v></c><c r="F127" s="230" t="str"><f>Translation!A102</f><v>LPG</v></c><c r="G127" s="230" t="str"><f>Translation!A103</f><v>Natural gas</v></c><c r="H127" s="230" t="str"><f>Translation!A104</f><v>Coal</v></c><c r="I127" s="230" t="str"><f>Translation!A116</f><v>Subtotal</v></c><c r="J127" s="230" t="str"><f>Translation!A108</f><v>Hydro</v></c><c r="K127" s="230" t="str"><f>Translation!A109</f><v>Wind</v></c><c r="L127" s="230" t="str"><f>Translation!A110</f><v>Solar</v></c><c r="M127" s="230" t="str"><f>Translation!A111</f><v>Geothermal</v></c><c r="N127" s="230" t="str"><f>Translation!A112</f><v>Ocean</v></c><c r="O127" s="230" t="str"><f>Translation!A113</f><v>Biomass</v></c><c r="P127" s="230" t="str"><f>Translation!A114</f><v>Urban waste</v></c><c r="Q127" s="230" t="str"><f>Translation!A115</f><v>Energy recovery</v></c><c r="R127" s="230" t="str"><f>Translation!A116</f><v>Subtotal</v></c><c r="S127" s="310"/><c r="T127" s="64"/><c r="U127" s="307"/><c r="V127" s="308"/><c r="W127" s="272"/><c r="X127" s="61"/><c r="Y127" s="61"/><c r="Z127" s="61"/><c r="AA127" s="61"/><c r="AB127" s="61"/><c r="AC127" s="61"/><c r="AD127" s="61"/><c r="AE127" s="61"/></row><row r="128" spans="1:31" s="55" customFormat="1" ht="15.75"><c r="B128" s="199" t="str"><f>Translation!A123</f><v>Electricity</v></c><c r="C128" s="204"><f>'CO2 factors'!C$7*C67</f><v>93711.357000000004</v></c><c r="D128" s="204"><f>'CO2 factors'!D$7*D67</f><v>5522.6280000000006</v></c><c r="E128" s="204"><f>'CO2 factors'!E$7*E67</f><v>0</v></c><c r="F128" s="204"><f>'CO2 factors'!F$7*F67</f><v>0</v></c><c r="G128" s="204"><f>'CO2 factors'!G$7*G67</f><v>153348.90600000002</v></c><c r="H128" s="204"><f>'CO2 factors'!H$7*H67</f><v>0</v></c><c r="I128" s="63"><f>SUM(C128:H128)</f><v>252582.891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252582.891</v></c><c r="T128" s="62"/><c r="U128" s="312" t="str"><f>Translation!A123</f><v>Electricity</v></c><c r="V128" s="313"/><c r="W128" s="205"><f>IF(S58&gt;0,S128/S58,0)</f><v>0.55149343665256179</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1" t="str"><f>Translation!A124</f><v>Heat</v></c><c r="V129" s="31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1" t="str"><f>Translation!A125</f><v>Cold</v></c><c r="V130" s="311"/><c r="W130" s="205"><f>IF(S60&gt;0,S130/S60,0)</f><v>0</v></c><c r="X130" s="61"/><c r="Y130" s="61"/><c r="Z130" s="61"/><c r="AA130" s="61"/><c r="AB130" s="61"/><c r="AC130" s="61"/><c r="AD130" s="61"/><c r="AE130" s="61"/></row><row r="131" spans="1:31" s="55" customFormat="1" ht="15.75"><c r="B131" s="225" t="str"><f>Translation!A118</f><v>TOTAL</v></c><c r="C131" s="57"><f t="shared" ref="C131:S131" si="49">SUM(C128:C130)</f><v>93711.357000000004</v></c><c r="D131" s="57"><f t="shared" si="49"/><v>5522.6280000000006</v></c><c r="E131" s="57"><f t="shared" si="49"/><v>0</v></c><c r="F131" s="57"><f t="shared" si="49"/><v>0</v></c><c r="G131" s="57"><f t="shared" si="49"/><v>153348.90600000002</v></c><c r="H131" s="57"><f t="shared" si="49"/><v>0</v></c><c r="I131" s="57"><f t="shared" si="49"/><v>252582.891</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252582.891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78" t="str"><f>Translation!A122</f><v>Energy product</v></c><c r="C134" s="286" t="str"><f>Translation!A142</f><v>PRIMARY ENERGY SOURCE</v></c><c r="D134" s="287"/><c r="E134" s="287"/><c r="F134" s="287"/><c r="G134" s="287"/><c r="H134" s="287"/><c r="I134" s="287"/><c r="J134" s="287"/><c r="K134" s="287"/><c r="L134" s="287"/><c r="M134" s="287"/><c r="N134" s="287"/><c r="O134" s="287"/><c r="P134" s="287"/><c r="Q134" s="287"/><c r="R134" s="287"/><c r="S134" s="287"/><c r="T134" s="287"/><c r="U134" s="287"/><c r="V134" s="287"/><c r="W134" s="287"/><c r="X134" s="287"/><c r="Y134" s="288"/><c r="AA134" s="271" t="str"><f>Translation!A150</f><v>CO2 emissions from ETS installations included in the calculations for final use of energy</v></c><c r="AB134" s="271" t="str"><f>Translation!A151</f><v>CO2 emissions from ETS installations included in the calculations for secondary energy production</v></c></row><row r="135" spans="1:31" s="55" customFormat="1" ht="15" customHeight="1"><c r="B135" s="279"/><c r="C135" s="286" t="str"><f>Translation!A98</f><v>Fossil fuels</v></c><c r="D135" s="287"/><c r="E135" s="287"/><c r="F135" s="287"/><c r="G135" s="287"/><c r="H135" s="287"/><c r="I135" s="288"/><c r="J135" s="286" t="str"><f>Translation!A107</f><v>Renewable energy sources</v></c><c r="K135" s="287"/><c r="L135" s="287"/><c r="M135" s="287"/><c r="N135" s="287"/><c r="O135" s="287"/><c r="P135" s="287"/><c r="Q135" s="287"/><c r="R135" s="288"/><c r="S135" s="275" t="str"><f>Translation!A123</f><v>Electricity</v></c><c r="T135" s="276"/><c r="U135" s="276"/><c r="V135" s="277"/><c r="W135" s="232" t="str"><f>Translation!A124</f><v>Heat</v></c><c r="X135" s="232" t="str"><f>Translation!A125</f><v>Cold</v></c><c r="Y135" s="249" t="str"><f>Translation!A118</f><v>TOTAL</v></c><c r="AA135" s="309"/><c r="AB135" s="309"/></row><row r="136" spans="1:31" s="55" customFormat="1" ht="90.75" customHeight="1"><c r="B136" s="280"/><c r="C136" s="226" t="str"><f>Translation!A99</f><v>Fueloil</v></c><c r="D136" s="226" t="str"><f>Translation!A100</f><v>Diesel</v></c><c r="E136" s="226" t="str"><f>Translation!A101</f><v>Gasoline</v></c><c r="F136" s="226" t="str"><f>Translation!A102</f><v>LPG</v></c><c r="G136" s="226" t="str"><f>Translation!A103</f><v>Natural gas</v></c><c r="H136" s="226" t="str"><f>Translation!A104</f><v>Coal</v></c><c r="I136" s="226" t="str"><f>Translation!A116</f><v>Subtotal</v></c><c r="J136" s="226" t="str"><f>Translation!A108</f><v>Hydro</v></c><c r="K136" s="226" t="str"><f>Translation!A109</f><v>Wind</v></c><c r="L136" s="226" t="str"><f>Translation!A110</f><v>Solar</v></c><c r="M136" s="226" t="str"><f>Translation!A111</f><v>Geothermal</v></c><c r="N136" s="226" t="str"><f>Translation!A112</f><v>Ocean</v></c><c r="O136" s="226" t="str"><f>Translation!A113</f><v>Biomass</v></c><c r="P136" s="226" t="str"><f>Translation!A114</f><v>Urban waste</v></c><c r="Q136" s="226" t="str"><f>Translation!A115</f><v>Energy recovery</v></c><c r="R136" s="226" t="str"><f>Translation!A116</f><v>Subtotal</v></c><c r="S136" s="58" t="str"><f>Translation!A144</f><v>Imported electricity (cable)</v></c><c r="T136" s="58" t="str"><f>Translation!A145</f><v>Exported electricity (cable)</v></c><c r="U136" s="58" t="str"><f>Translation!A136</f><v>Reexportation and external consumption</v></c><c r="V136" s="229" t="str"><f>Translation!A116</f><v>Subtotal</v></c><c r="W136" s="229" t="str"><f>Translation!A136</f><v>Reexportation and external consumption</v></c><c r="X136" s="229" t="str"><f>Translation!A136</f><v>Reexportation and external consumption</v></c><c r="Y136" s="249"/><c r="AA136" s="272"/><c r="AB136" s="272"/></row><row r="137" spans="1:31" s="55" customFormat="1" ht="15.75"><c r="B137" s="231" t="str"><f>Translation!A118</f><v>TOTAL</v></c><c r="C137" s="201"><f>'CO2 factors'!C$7*C76</f><v>161418.27864280253</v></c><c r="D137" s="201"><f>'CO2 factors'!D$7*D76</f><v>79602.684697148623</v></c><c r="E137" s="201"><f>'CO2 factors'!E$7*E76</f><v>91472.587713279019</v></c><c r="F137" s="201"><f>'CO2 factors'!F$7*F76</f><v>15060.077766329492</v></c><c r="G137" s="201"><f>'CO2 factors'!G$7*G76</f><v>153348.90600000002</v></c><c r="H137" s="201"><f>'CO2 factors'!H$7*H76</f><v>0</v></c><c r="I137" s="57"><f>SUM(C137:H137)</f><v>500902.53481955972</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500902.53481955972</v></c><c r="AA137" s="164"/><c r="AB137" s="164"/></row><row r="138" spans="1:31" s="55" customFormat="1" ht="15"><c r="B138" s="56"/></row><row r="139" spans="1:31" ht="15.75" customHeight="1"><c r="A139" s="154"/><c r="B139" s="155"/></row><row r="140" spans="1:31" ht="18.75" customHeight="1"><c r="A140" s="153"/><c r="B140" s="250" t="str"><f>Translation!A155</f><v xml:space="preserve">Go to the next sheet dedicated to your Island Sustainable Energy Action Plan </v></c><c r="C140" s="251"/><c r="D140" s="251"/><c r="E140" s="251"/><c r="F140" s="251"/><c r="G140" s="251"/><c r="H140" s="251"/><c r="I140" s="251"/><c r="J140" s="251"/><c r="K140" s="251"/><c r="L140" s="251"/><c r="M140" s="251"/><c r="N140" s="251"/><c r="O140" s="251"/><c r="P140" s="251"/><c r="Q140" s="251"/><c r="R140" s="25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2"/><c r="D142" s="252"/><c r="E142" s="252"/><c r="F142" s="252"/><c r="G142" s="252"/><c r="H142" s="252"/><c r="I142" s="252"/><c r="J142" s="252"/><c r="K142" s="252"/><c r="L142" s="252"/><c r="M142" s="252"/><c r="N142" s="252"/><c r="O142" s="252"/><c r="P142" s="252"/><c r="Q142" s="252"/><c r="R142" s="252"/><c r="S142" s="252"/><c r="T142" s="252"/><c r="U142" s="252"/></row><row r="143" spans="1:31" ht="12.75" customHeight="1"><c r="B143" s="252"/><c r="C143" s="252"/><c r="D143" s="252"/><c r="E143" s="252"/><c r="F143" s="252"/><c r="G143" s="252"/><c r="H143" s="252"/><c r="I143" s="252"/><c r="J143" s="252"/><c r="K143" s="252"/><c r="L143" s="252"/><c r="M143" s="252"/><c r="N143" s="252"/><c r="O143" s="252"/><c r="P143" s="252"/><c r="Q143" s="252"/><c r="R143" s="252"/><c r="S143" s="252"/><c r="T143" s="252"/><c r="U143" s="252"/></row><row r="144" spans="1:31" ht="12.75" customHeight="1"><c r="B144" s="252"/><c r="C144" s="252"/><c r="D144" s="252"/><c r="E144" s="252"/><c r="F144" s="252"/><c r="G144" s="252"/><c r="H144" s="252"/><c r="I144" s="252"/><c r="J144" s="252"/><c r="K144" s="252"/><c r="L144" s="252"/><c r="M144" s="252"/><c r="N144" s="252"/><c r="O144" s="252"/><c r="P144" s="252"/><c r="Q144" s="252"/><c r="R144" s="252"/><c r="S144" s="252"/><c r="T144" s="252"/><c r="U144" s="252"/></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abSelected="1" topLeftCell="A91" zoomScale="55" zoomScaleNormal="55" workbookViewID_"0"><selection activeCell="C129" sqref="C12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0" t="str"><f>Translation!$A$31</f><v>Island  Sustainable Energy Action Plan (ISEAP)</v></c><c r="B1" s="240"/><c r="C1" s="240"/><c r="D1" s="240"/><c r="E1" s="240"/><c r="F1" s="240"/><c r="G1" s="240"/><c r="H1" s="240"/><c r="I1" s="240"/><c r="J1" s="240"/><c r="K1" s="240"/><c r="L1" s="240"/><c r="M1" s="240"/><c r="N1" s="240"/><c r="O1" s="240"/><c r="P1" s="240"/><c r="Q1" s="240"/><c r="R1" s="240"/><c r="S1" s="240"/><c r="T1" s="240"/><c r="U1" s="240"/></row><row r="2" spans="1:30" s="21" customFormat="1" ht="28.5" customHeight="1"><c r="A2" s="82"/><c r="B2" s="83" t="s"><v>450</v></c><c r="C2" s="82"/><c r="D2" s="82"/><c r="E2" s="82"/><c r="F2" s="86"/><c r="G2" s="86"/><c r="H2" s="87"/><c r="I2" s="84" t="str"><f>Translation!$A$10</f><v>Island</v></c><c r="J2" s="85" t="str"><f>'Start here'!$B$5</f><v>Cyprus - Strovolos</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63" t="str"><f>Translation!A154</f><v>PLAN EMISSION INVENTORY IN 2020 (implementing sustainable energy actions)</v></c><c r="B4" s="263"/><c r="C4" s="263"/><c r="D4" s="263"/><c r="E4" s="263"/><c r="F4" s="263"/><c r="G4" s="263"/><c r="H4" s="263"/><c r="I4" s="263"/><c r="J4" s="263"/><c r="K4" s="263"/><c r="L4" s="263"/><c r="M4" s="263"/><c r="N4" s="263"/><c r="O4" s="263"/><c r="P4" s="263"/><c r="Q4" s="263"/><c r="R4" s="263"/><c r="S4" s="263"/><c r="T4" s="263"/><c r="U4" s="263"/><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67" t="str"><f>Translation!$A$53</f><v>Mandatory fields</v></c><c r="T6" s="267"/><c r="U6" s="267"/></row><row r="7" spans="1:30" s="135" customFormat="1" ht="36"><c r="A7" s="133" t="s"><v>0</v></c><c r="B7" s="134" t="str"><f>Translation!A50</f><v>GENERAL DATA</v></c><c r="L7" s="136"/></row><row r="8" spans="1:30" ht="21"><c r="A8" s="137"/><c r="B8" s="139" t="str"><f>Translation!A52</f><v>Number of inhabitants</v></c><c r="C8" s="283"><v>77401</v></c><c r="D8" s="28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85" t="str"><f>'Start here'!F7</f><v>IPCC emission factors</v></c><c r="D10" s="285"/><c r="E10" s="285"/><c r="F10" s="285"/><c r="G10" s="285"/><c r="H10" s="285"/><c r="I10" s="285"/><c r="J10" s="28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1" t="str"><f>Translation!A56</f><v>DEMAND SECTOR</v></c><c r="C14" s="286" t="str"><f>Translation!A93</f><v>ENERGY FOR FINAL USE</v></c><c r="D14" s="287"/><c r="E14" s="287"/><c r="F14" s="287"/><c r="G14" s="287"/><c r="H14" s="287"/><c r="I14" s="287"/><c r="J14" s="287"/><c r="K14" s="287"/><c r="L14" s="287"/><c r="M14" s="287"/><c r="N14" s="287"/><c r="O14" s="287"/><c r="P14" s="287"/><c r="Q14" s="287"/><c r="R14" s="287"/><c r="S14" s="287"/><c r="T14" s="287"/><c r="U14" s="288"/></row><row r="15" spans="1:30" s="55" customFormat="1" ht="18" customHeight="1"><c r="B15" s="282"/><c r="C15" s="286" t="str"><f>Translation!A94</f><v>Centralized energy services</v></c><c r="D15" s="287"/><c r="E15" s="287"/><c r="F15" s="288"/><c r="G15" s="286" t="str"><f>Translation!A98</f><v>Fossil fuels</v></c><c r="H15" s="287"/><c r="I15" s="287"/><c r="J15" s="287"/><c r="K15" s="287"/><c r="L15" s="287"/><c r="M15" s="288"/><c r="N15" s="286" t="str"><f>Translation!A105</f><v>Renewable energy sources (excluding electricity and heat sold to public networks)</v></c><c r="O15" s="287"/><c r="P15" s="287"/><c r="Q15" s="287"/><c r="R15" s="287"/><c r="S15" s="287"/><c r="T15" s="288"/><c r="U15" s="281"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2"/></row><row r="17" spans="1:21" s="21" customFormat="1" ht="15.75"><c r="A17" s="22"/><c r="B17" s="70" t="str"><f>Translation!A59</f><v>RESIDENTIAL</v></c><c r="C17" s="124"><f>SUM(C18:C26)</f><v>152305.04636321258</v></c><c r="D17" s="124"><f>SUM(D18:D26)</f><v>0</v></c><c r="E17" s="124"><f>SUM(E18:E26)</f><v>0</v></c><c r="F17" s="68"><f t="shared" ref="F17:F52" si="0">SUM(C17:E17)</f><v>152305.04636321258</v></c><c r="G17" s="124"><f t="shared" ref="G17:L17" si="1">SUM(G18:G26)</f><v>69409.016852498258</v></c><c r="H17" s="124"><f t="shared" si="1"/><v>0</v></c><c r="I17" s="124"><f t="shared" si="1"/><v>0</v></c><c r="J17" s="124"><f t="shared" si="1"/><v>9939.1925697647257</v></c><c r="K17" s="124"><f t="shared" si="1"/><v>0</v></c><c r="L17" s="124"><f t="shared" si="1"/><v>0</v></c><c r="M17" s="68"><f t="shared" ref="M17:M52" si="2">SUM(G17:L17)</f><v>79348.209422262982</v></c><c r="N17" s="124"><f t="shared" ref="N17:S17" si="3">SUM(N18:N26)</f><v>0</v></c><c r="O17" s="124"><f t="shared" si="3"/><v>0</v></c><c r="P17" s="124"><f t="shared" si="3"/><v>24273.666459492237</v></c><c r="Q17" s="124"><f t="shared" si="3"/><v>669.07938803846218</v></c><c r="R17" s="124"><f t="shared" si="3"/><v>0</v></c><c r="S17" s="124"><f t="shared" si="3"/><v>13467.367169492129</v></c><c r="T17" s="68"><f t="shared" ref="T17:T52" si="4">SUM(N17:S17)</f><v>38410.113017022828</v></c><c r="U17" s="68"><f t="shared" ref="U17:U52" si="5">F17+M17+T17</f><v>270063.36880249839</v></c></row><row r="18" spans="1:21" s="21" customFormat="1" ht="15.75"><c r="A18" s="22"/><c r="B18" s="197" t="str"><f>Translation!A60</f><v>Hot water</v></c><c r="C18" s="158"><f>'BAU 2020'!C18*(1-ISEAP!$O$120)</f><v>4569.1513908963789</v></c><c r="D18" s="158"/><c r="E18" s="158"/><c r="F18" s="68"><f t="shared" si="0"/><v>4569.1513908963789</v></c><c r="G18" s="158"><f>'BAU 2020'!G18*(1-ISEAP!$O$120)</f><v>3998.0074670343333</v></c><c r="H18" s="158"><v>0</v></c><c r="I18" s="158"><v>0</v></c><c r="J18" s="158"><f>'BAU 2020'!J18*(1-ISEAP!$O$120)</f><v>285.57196193102368</v></c><c r="K18" s="158"><v>0</v></c><c r="L18" s="158"><v>0</v></c><c r="M18" s="68"><f t="shared" si="2"/><v>4283.5794289653568</v></c><c r="N18" s="158"><v>0</v></c><c r="O18" s="158"><v>0</v></c><c r="P18" s="158"><v>23541.682171723663</v></c><c r="Q18" s="158"><v>181.08986285941288</v></c><c r="R18" s="158"><v>0</v></c><c r="S18" s="158"><v>1267.6290400158907</v></c><c r="T18" s="68"><f t="shared" si="4"/><v>24990.401074598965</v></c><c r="U18" s="68"><f t="shared" si="5"/><v>33843.131894460705</v></c></row><row r="19" spans="1:21" s="21" customFormat="1" ht="15.75"><c r="A19" s="22"/><c r="B19" s="197" t="str"><f>Translation!A61</f><v>Heating and cooling</v></c><c r="C19" s="158"><f>'BAU 2020'!C19*(1-ISEAP!$O$120)</f><v>109659.63338151305</v></c><c r="D19" s="158"/><c r="E19" s="158"/><c r="F19" s="68"><f t="shared" si="0"/><v>109659.63338151305</v></c><c r="G19" s="158"><f>'BAU 2020'!G19*(1-ISEAP!$O$120)</f><v>65411.009385463927</v></c><c r="H19" s="158"><v>0</v></c><c r="I19" s="158"><v>0</v></c><c r="J19" s="158"><f>'BAU 2020'!J19*(1-ISEAP!$O$120)</f><v>7695.4128688781102</v></c><c r="K19" s="158"><v>0</v></c><c r="L19" s="158"><v>0</v></c><c r="M19" s="68"><f t="shared" si="2"/><v>73106.422254342033</v></c><c r="N19" s="158"><v>0</v></c><c r="O19" s="158"><v>0</v></c><c r="P19" s="158"><v>731.98428776857406</v></c><c r="Q19" s="158"><v>487.98952517904934</v></c><c r="R19" s="158"><v>0</v></c><c r="S19" s="158"><v>12199.738129476238</v></c><c r="T19" s="68"><f t="shared" si="4"/><v>13419.711942423861</v></c><c r="U19" s="68"><f t="shared" si="5"/><v>196185.76757827893</v></c></row><row r="20" spans="1:21" s="21" customFormat="1" ht="15.75"><c r="A20" s="22"/><c r="B20" s="197" t="str"><f>Translation!A62</f><v>Lighting</v></c><c r="C20" s="158"><f>'BAU 2020'!C20*(1-ISEAP!$O$120)</f><v>6092.2018545285046</v></c><c r="D20" s="158"/><c r="E20" s="158"/><c r="F20" s="68"><f t="shared" si="0"/><v>6092.2018545285046</v></c><c r="G20" s="158"><v>0</v></c><c r="H20" s="158"><v>0</v></c><c r="I20" s="158"><v>0</v></c><c r="J20" s="158"><v>0</v></c><c r="K20" s="158"><v>0</v></c><c r="L20" s="158"><v>0</v></c><c r="M20" s="68"><f t="shared" si="2"/><v>0</v></c><c r="N20" s="158"><v>0</v></c><c r="O20" s="158"><v>0</v></c><c r="P20" s="158"><v>0</v></c><c r="Q20" s="158"><v>0</v></c><c r="R20" s="158"><v>0</v></c><c r="S20" s="158"><v>0</v></c><c r="T20" s="68"><f t="shared" si="4"/><v>0</v></c><c r="U20" s="68"><f t="shared" si="5"/><v>6092.2018545285046</v></c></row><row r="21" spans="1:21" s="21" customFormat="1" ht="15.75"><c r="A21" s="22"/><c r="B21" s="197" t="str"><f>Translation!A63</f><v>Cooking</v></c><c r="C21" s="158"><f>'BAU 2020'!C21*(1-ISEAP!$O$120)</f><v>4569.1513908963789</v></c><c r="D21" s="158"/><c r="E21" s="158"/><c r="F21" s="68"><f t="shared" si="0"/><v>4569.1513908963789</v></c><c r="G21" s="158"><v>0</v></c><c r="H21" s="158"><v>0</v></c><c r="I21" s="158"><v>0</v></c><c r="J21" s="158"><f>'BAU 2020'!J21*(1-ISEAP!$O$120)</f><v>1958.2077389555909</v></c><c r="K21" s="158"><v>0</v></c><c r="L21" s="158"><v>0</v></c><c r="M21" s="68"><f t="shared" si="2"/><v>1958.2077389555909</v></c><c r="N21" s="158"><v>0</v></c><c r="O21" s="158"><v>0</v></c><c r="P21" s="158"><v>0</v></c><c r="Q21" s="158"><v>0</v></c><c r="R21" s="158"><v>0</v></c><c r="S21" s="158"><v>0</v></c><c r="T21" s="68"><f t="shared" si="4"/><v>0</v></c><c r="U21" s="68"><f t="shared" si="5"/><v>6527.3591298519696</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f>'BAU 2020'!C26*(1-ISEAP!$O$120)</f><v>27414.908345378262</v></c><c r="D26" s="158"/><c r="E26" s="158"/><c r="F26" s="68"><f t="shared" si="0"/><v>27414.908345378262</v></c><c r="G26" s="158"><v>0</v></c><c r="H26" s="158"><v>0</v></c><c r="I26" s="158"><v>0</v></c><c r="J26" s="158"><v>0</v></c><c r="K26" s="158"><v>0</v></c><c r="L26" s="158"><v>0</v></c><c r="M26" s="68"><f t="shared" si="2"/><v>0</v></c><c r="N26" s="158"><v>0</v></c><c r="O26" s="158"><v>0</v></c><c r="P26" s="158"><v>0</v></c><c r="Q26" s="158"><v>0</v></c><c r="R26" s="158"><v>0</v></c><c r="S26" s="158"><v>0</v></c><c r="T26" s="68"><f t="shared" si="4"/><v>0</v></c><c r="U26" s="68"><f t="shared" si="5"/><v>27414.908345378262</v></c></row><row r="27" spans="1:21" s="21" customFormat="1" ht="15.75"><c r="A27" s="22"/><c r="B27" s="70" t="str"><f>Translation!A69</f><v>PRIMARY SECTOR</v></c><c r="C27" s="124"><f>SUM(C28:C29)</f><v>983.36233328529818</v></c><c r="D27" s="124"><f>SUM(D28:D29)</f><v>0</v></c><c r="E27" s="124"><f>SUM(E28:E29)</f><v>0</v></c><c r="F27" s="68"><f t="shared" si="0"/><v>983.36233328529818</v></c><c r="G27" s="124"><f t="shared" ref="G27:L27" si="6">SUM(G28:G29)</f><v>265.03899928040818</v></c><c r="H27" s="124"><f t="shared" si="6"/><v>0</v></c><c r="I27" s="124"><f t="shared" si="6"/><v>0</v></c><c r="J27" s="124"><f t="shared" si="6"/><v>193.53041244268346</v></c><c r="K27" s="124"><f t="shared" si="6"/><v>0</v></c><c r="L27" s="124"><f t="shared" si="6"/><v>0</v></c><c r="M27" s="68"><f t="shared" si="2"/><v>458.56941172309166</v></c><c r="N27" s="124"><f t="shared" ref="N27:S27" si="7">SUM(N28:N29)</f><v>0</v></c><c r="O27" s="124"><f t="shared" si="7"/><v>0</v></c><c r="P27" s="124"><f t="shared" si="7"/><v>0</v></c><c r="Q27" s="124"><f t="shared" si="7"/><v>0</v></c><c r="R27" s="124"><f t="shared" si="7"/><v>0</v></c><c r="S27" s="124"><f t="shared" si="7"/><v>498.86396093397764</v></c><c r="T27" s="68"><f t="shared" si="4"/><v>498.86396093397764</v></c><c r="U27" s="68"><f t="shared" si="5"/><v>1940.7957059423675</v></c></row><row r="28" spans="1:21" s="21" customFormat="1" ht="15.75"><c r="A28" s="22"/><c r="B28" s="198" t="str"><f>Translation!A70</f><v>Agriculture, forestry and fishing</v></c><c r="C28" s="158"><f>'BAU 2020'!C28*(1-ISEAP!$O$120)</f><v>983.36233328529818</v></c><c r="D28" s="158"/><c r="E28" s="158"/><c r="F28" s="68"><f t="shared" si="0"/><v>983.36233328529818</v></c><c r="G28" s="158"><f>'BAU 2020'!G28*(1-ISEAP!$O$120)</f><v>265.03899928040818</v></c><c r="H28" s="158"><v>0</v></c><c r="I28" s="158"><v>0</v></c><c r="J28" s="158"><f>'BAU 2020'!J28*(1-ISEAP!$O$120)</f><v>193.53041244268346</v></c><c r="K28" s="158"><v>0</v></c><c r="L28" s="158"><v>0</v></c><c r="M28" s="68"><f t="shared" si="2"/><v>458.56941172309166</v></c><c r="N28" s="158"><v>0</v></c><c r="O28" s="158"><v>0</v></c><c r="P28" s="158"><v>0</v></c><c r="Q28" s="158"><v>0</v></c><c r="R28" s="158"><v>0</v></c><c r="S28" s="158"><v>498.86396093397764</v></c><c r="T28" s="68"><f t="shared" si="4"/><v>498.86396093397764</v></c><c r="U28" s="68"><f t="shared" si="5"/><v>1940.7957059423675</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24594.564276197882</v></c><c r="D30" s="124"><f>SUM(D31:D33)</f><v>0</v></c><c r="E30" s="124"><f>SUM(E31:E33)</f><v>0</v></c><c r="F30" s="68"><f t="shared" si="0"/><v>24594.564276197882</v></c><c r="G30" s="124"><f t="shared" ref="G30:L30" si="8">SUM(G31:G33)</f><v>14934.843780207137</v></c><c r="H30" s="124"><f t="shared" si="8"/><v>0</v></c><c r="I30" s="124"><f t="shared" si="8"/><v>0</v></c><c r="J30" s="124"><f t="shared" si="8"/><v>4829.4254287066951</v></c><c r="K30" s="124"><f t="shared" si="8"/><v>0</v></c><c r="L30" s="124"><f t="shared" si="8"/><v>0</v></c><c r="M30" s="68"><f t="shared" si="2"/><v>19764.269208913833</v></c><c r="N30" s="124"><f t="shared" ref="N30:S30" si="9">SUM(N31:N33)</f><v>0</v></c><c r="O30" s="124"><f t="shared" si="9"/><v>0</v></c><c r="P30" s="124"><f t="shared" si="9"/><v>1284.4298074171641</v></c><c r="Q30" s="124"><f t="shared" si="9"/><v>0</v></c><c r="R30" s="124"><f t="shared" si="9"/><v>0</v></c><c r="S30" s="124"><f t="shared" si="9"/><v>428.14326913905472</v></c><c r="T30" s="68"><f t="shared" si="4"/><v>1712.5730765562189</v></c><c r="U30" s="68"><f t="shared" si="5"/><v>46071.406561667929</v></c></row><row r="31" spans="1:21" s="21" customFormat="1" ht="15.75"><c r="A31" s="22"/><c r="B31" s="79" t="str"><f>Translation!A73</f><v>Manufacturing</v></c><c r="C31" s="158"><f>'BAU 2020'!C31*(1-ISEAP!$O$120)</f><v>22955.643062791092</v></c><c r="D31" s="158"><v>0</v></c><c r="E31" s="158"><v>0</v></c><c r="F31" s="68"><f t="shared" si="0"/><v>22955.643062791092</v></c><c r="G31" s="158"><f>'BAU 2020'!G31*(1-ISEAP!$O$120)</f><v>13939.622559151137</v></c><c r="H31" s="158"><v>0</v></c><c r="I31" s="158"><v>0</v></c><c r="J31" s="158"><f>'BAU 2020'!J31*(1-ISEAP!$O$120)</f><v>4507.6044078182058</v></c><c r="K31" s="158"><v>0</v></c><c r="L31" s="158"><v>0</v></c><c r="M31" s="68"><f t="shared" si="2"/><v>18447.226966969341</v></c><c r="N31" s="158"><v>0</v></c><c r="O31" s="158"><v>0</v></c><c r="P31" s="158"><v>1284.4298074171641</v></c><c r="Q31" s="158"><v>0</v></c><c r="R31" s="158"><v>0</v></c><c r="S31" s="158"><v>428.14326913905472</v></c><c r="T31" s="68"><f t="shared" si="4"/><v>1712.5730765562189</v></c><c r="U31" s="68"><f t="shared" si="5"/><v>43115.443106316656</v></c></row><row r="32" spans="1:21" s="21" customFormat="1" ht="30"><c r="A32" s="22"/><c r="B32" s="198" t="str"><f>Translation!A74</f><v>Water supply, sewerage, waste management and remediation activities</v></c><c r="C32" s="158"><f>'BAU 2020'!C32*(1-ISEAP!$O$120)</f><v>776.26244385899156</v></c><c r="D32" s="158"><v>0</v></c><c r="E32" s="158"><v>0</v></c><c r="F32" s="68"><f t="shared" si="0"/><v>776.26244385899156</v></c><c r="G32" s="158"><f>'BAU 2020'!G32*(1-ISEAP!$O$120)</f><v>471.37888686630095</v></c><c r="H32" s="158"><v>0</v></c><c r="I32" s="158"><v>0</v></c><c r="J32" s="158"><f>'BAU 2020'!J32*(1-ISEAP!$O$120)</f><v>152.42805457426738</v></c><c r="K32" s="158"><v>0</v></c><c r="L32" s="158"><v>0</v></c><c r="M32" s="68"><f t="shared" si="2"/><v>623.80694144056838</v></c><c r="N32" s="158"><v>0</v></c><c r="O32" s="158"><v>0</v></c><c r="P32" s="158"><v>0</v></c><c r="Q32" s="158"><v>0</v></c><c r="R32" s="158"><v>0</v></c><c r="S32" s="158"><v>0</v></c><c r="T32" s="68"><f t="shared" si="4"/><v>0</v></c><c r="U32" s="68"><f t="shared" si="5"/><v>1400.0693852995601</v></c></row><row r="33" spans="1:21" s="21" customFormat="1" ht="15.75"><c r="A33" s="22"/><c r="B33" s="198" t="str"><f>Translation!A75</f><v>Construction</v></c><c r="C33" s="158"><f>'BAU 2020'!C33*(1-ISEAP!$O$120)</f><v>862.65876954779571</v></c><c r="D33" s="158"><v>0</v></c><c r="E33" s="158"><v>0</v></c><c r="F33" s="68"><f t="shared" si="0"/><v>862.65876954779571</v></c><c r="G33" s="158"><f>'BAU 2020'!G33*(1-ISEAP!$O$120)</f><v>523.842334189697</v></c><c r="H33" s="158"><v>0</v></c><c r="I33" s="158"><v>0</v></c><c r="J33" s="158"><f>'BAU 2020'!J33*(1-ISEAP!$O$120)</f><v>169.39296631422192</v></c><c r="K33" s="158"><v>0</v></c><c r="L33" s="158"><v>0</v></c><c r="M33" s="68"><f t="shared" si="2"/><v>693.23530050391889</v></c><c r="N33" s="158"><v>0</v></c><c r="O33" s="158"><v>0</v></c><c r="P33" s="158"><v>0</v></c><c r="Q33" s="158"><v>0</v></c><c r="R33" s="158"><v>0</v></c><c r="S33" s="158"><v>0</v></c><c r="T33" s="68"><f t="shared" si="4"/><v>0</v></c><c r="U33" s="68"><f t="shared" si="5"/><v>1555.8940700517146</v></c></row><row r="34" spans="1:21" s="21" customFormat="1" ht="15.75"><c r="A34" s="22"/><c r="B34" s="65" t="str"><f>Translation!A76</f><v>TERTIARY SECTOR</v></c><c r="C34" s="124"><f>SUM(C35:C42)</f><v>183206.19843801649</v></c><c r="D34" s="124"><f>SUM(D35:D42)</f><v>0</v></c><c r="E34" s="124"><f>SUM(E35:E42)</f><v>0</v></c><c r="F34" s="68"><f t="shared" si="0"/><v>183206.19843801649</v></c><c r="G34" s="124"><f t="shared" ref="G34:L34" si="10">SUM(G35:G42)</f><v>106737.50006236549</v></c><c r="H34" s="124"><f t="shared" si="10"/><v>0</v></c><c r="I34" s="124"><f t="shared" si="10"/><v>0</v></c><c r="J34" s="124"><f t="shared" si="10"/><v>34515.312284747655</v></c><c r="K34" s="124"><f t="shared" si="10"/><v>0</v></c><c r="L34" s="124"><f t="shared" si="10"/><v>0</v></c><c r="M34" s="68"><f t="shared" si="2"/><v>141252.81234711315</v></c><c r="N34" s="124"><f t="shared" ref="N34:S34" si="11">SUM(N35:N42)</f><v>0</v></c><c r="O34" s="124"><f t="shared" si="11"/><v>0</v></c><c r="P34" s="124"><f t="shared" si="11"/><v>9554.0445154939662</v></c><c r="Q34" s="124"><f t="shared" si="11"/><v>0</v></c><c r="R34" s="124"><f t="shared" si="11"/><v>0</v></c><c r="S34" s="124"><f t="shared" si="11"/><v>3184.6815051646545</v></c><c r="T34" s="68"><f t="shared" si="4"/><v>12738.726020658622</v></c><c r="U34" s="68"><f t="shared" si="5"/><v>337197.73680578824</v></c></row><row r="35" spans="1:21" s="21" customFormat="1" ht="30"><c r="A35" s="22"/><c r="B35" s="198" t="str"><f>Translation!A77</f><v xml:space="preserve">Wholesale and retail trade; repair of motor vehicles and motorcycles </v></c><c r="C35" s="158"><f>'BAU 2020'!C35*(1-ISEAP!$O$120)</f><v>62033.303763104137</v></c><c r="D35" s="158"/><c r="E35" s="158"/><c r="F35" s="68"><f t="shared" si="0"/><v>62033.303763104137</v></c><c r="G35" s="158"><f>'BAU 2020'!G35*(1-ISEAP!$O$120)</f><v>37669.205702038096</v></c><c r="H35" s="158"><v>0</v></c><c r="I35" s="158"><v>0</v></c><c r="J35" s="158"><f>'BAU 2020'!J35*(1-ISEAP!$O$120)</f><v>12180.95231352215</v></c><c r="K35" s="158"><v>0</v></c><c r="L35" s="158"/><c r="M35" s="68"><f t="shared" si="2"/><v>49850.158015560242</v></c><c r="N35" s="223"><v>0</v></c><c r="O35" s="223"><v>0</v></c><c r="P35" s="223"><v>3371.7603272541501</v></c><c r="Q35" s="223"><v>0</v></c><c r="R35" s="223"><v>0</v></c><c r="S35" s="223"><v>1123.9201090847157</v></c><c r="T35" s="68"><f t="shared" si="4"/><v>4495.6804363388655</v></c><c r="U35" s="68"><f t="shared" si="5"/><v>116379.14221500324</v></c></row><row r="36" spans="1:21" s="21" customFormat="1" ht="15.75"><c r="A36" s="22"/><c r="B36" s="198" t="str"><f>Translation!A78</f><v>Accomodation and food service activities</v></c><c r="C36" s="158"><f>'BAU 2020'!C36*(1-ISEAP!$O$120)</f><v>7883.7175174668682</v></c><c r="D36" s="158"/><c r="E36" s="158"/><c r="F36" s="68"><f t="shared" si="0"/><v>7883.7175174668682</v></c><c r="G36" s="158"><f>'BAU 2020'!G36*(1-ISEAP!$O$120)</f><v>4787.3216296252285</v></c><c r="H36" s="158"><v>0</v></c><c r="I36" s="158"><v>0</v></c><c r="J36" s="158"><f>'BAU 2020'!J36*(1-ISEAP!$O$120)</f><v>1548.0585638364812</v></c><c r="K36" s="158"><v>0</v></c><c r="L36" s="158"/><c r="M36" s="68"><f t="shared" si="2"/><v>6335.3801934617095</v></c><c r="N36" s="223"><v>0</v></c><c r="O36" s="223"><v>0</v></c><c r="P36" s="223"><v>428.51185321655629</v></c><c r="Q36" s="223"><v>0</v></c><c r="R36" s="223"><v>0</v></c><c r="S36" s="223"><v>142.83728440551883</v></c><c r="T36" s="68"><f t="shared" si="4"/><v>571.34913762207509</v></c><c r="U36" s="68"><f t="shared" si="5"/><v>14790.446848550653</v></c></row><row r="37" spans="1:21" s="21" customFormat="1" ht="15.75"><c r="A37" s="22"/><c r="B37" s="198" t="str"><f>Translation!A79</f><v>General public administration and social security</v></c><c r="C37" s="158"><f>'BAU 2020'!C37*(1-ISEAP!$O$120)</f><v>13202.824666020142</v></c><c r="D37" s="158"/><c r="E37" s="158"/><c r="F37" s="68"><f t="shared" si="0"/><v>13202.824666020142</v></c><c r="G37" s="158"><f>'BAU 2020'!G37*(1-ISEAP!$O$120)</f><v>8017.3050284653773</v></c><c r="H37" s="158"><v>0</v></c><c r="I37" s="158"><v>0</v></c><c r="J37" s="158"><f>'BAU 2020'!J37*(1-ISEAP!$O$120)</f><v>2592.5263996053504</v></c><c r="K37" s="158"><v>0</v></c><c r="L37" s="158"/><c r="M37" s="68"><f t="shared" si="2"/><v>10609.831428070727</v></c><c r="N37" s="223"><v>0</v></c><c r="O37" s="223"><v>0</v></c><c r="P37" s="223"><v>717.62678619507381</v></c><c r="Q37" s="223"><v>0</v></c><c r="R37" s="223"><v>0</v></c><c r="S37" s="223"><v>239.20892873169115</v></c><c r="T37" s="68"><f t="shared" si="4"/><v>956.83571492676492</v></c><c r="U37" s="68"><f t="shared" si="5"/><v>24769.491809017632</v></c></row><row r="38" spans="1:21" s="21" customFormat="1" ht="15.75"><c r="A38" s="22"/><c r="B38" s="198" t="str"><f>Translation!A80</f><v>Defense, justice, police and fire departments</v></c><c r="C38" s="158"><f>'BAU 2020'!C38*(1-ISEAP!$O$120)</f><v>396.77570505909074</v></c><c r="D38" s="158"/><c r="E38" s="158"/><c r="F38" s="68"><f t="shared" si="0"/><v>396.77570505909074</v></c><c r="G38" s="158"><f>'BAU 2020'!G38*(1-ISEAP!$O$120)</f><v>240.93873362797947</v></c><c r="H38" s="158"><v>0</v></c><c r="I38" s="158"><v>0</v></c><c r="J38" s="158"><f>'BAU 2020'!J38*(1-ISEAP!$O$120)</f><v>77.911470924486281</v></c><c r="K38" s="158"><v>0</v></c><c r="L38" s="158"/><c r="M38" s="68"><f t="shared" si="2"/><v>318.85020455246575</v></c><c r="N38" s="223"><v>0</v></c><c r="O38" s="223"><v>0</v></c><c r="P38" s="223"><v>21.566360325503791</v></c><c r="Q38" s="223"><v>0</v></c><c r="R38" s="223"><v>0</v></c><c r="S38" s="223"><v>7.188786775167932</v></c><c r="T38" s="68"><f t="shared" si="4"/><v>28.755147100671721</v></c><c r="U38" s="68"><f t="shared" si="5"/><v>744.3810567122282</v></c></row><row r="39" spans="1:21" s="21" customFormat="1" ht="15.75"><c r="A39" s="22"/><c r="B39" s="198" t="str"><f>Translation!A81</f><v>Education</v></c><c r="C39" s="158"><f>'BAU 2020'!C39*(1-ISEAP!$O$120)</f><v>21088.934853330993</v></c><c r="D39" s="158"/><c r="E39" s="158"/><c r="F39" s="68"><f t="shared" si="0"/><v>21088.934853330993</v></c><c r="G39" s="158"><f>'BAU 2020'!G39*(1-ISEAP!$O$120)</f><v>12806.079586873413</v></c><c r="H39" s="158"><v>0</v></c><c r="I39" s="158"><v>0</v></c><c r="J39" s="158"><f>'BAU 2020'!J39*(1-ISEAP!$O$120)</f><v>4141.0547916712421</v></c><c r="K39" s="158"><v>0</v></c><c r="L39" s="158"/><c r="M39" s="68"><f t="shared" si="2"/><v>16947.134378544655</v></c><c r="N39" s="223"><v>0</v></c><c r="O39" s="223"><v>0</v></c><c r="P39" s="223"><v>1146.2686906706595</v></c><c r="Q39" s="223"><v>0</v></c><c r="R39" s="223"><v>0</v></c><c r="S39" s="223"><v>382.0895635568865</v></c><c r="T39" s="68"><f t="shared" si="4"/><v>1528.358254227546</v></c><c r="U39" s="68"><f t="shared" si="5"/><v>39564.427486103195</v></c></row><row r="40" spans="1:21" s="21" customFormat="1" ht="15.75"><c r="A40" s="22"/><c r="B40" s="198" t="str"><f>Translation!A82</f><v>Human health and social work activities</v></c><c r="C40" s="158"><f>'BAU 2020'!C40*(1-ISEAP!$O$120)</f><v>14815.836764819043</v></c><c r="D40" s="158"/><c r="E40" s="158"/><c r="F40" s="68"><f t="shared" si="0"/><v>14815.836764819043</v></c><c r="G40" s="158"><f>'BAU 2020'!G40*(1-ISEAP!$O$120)</f><v>8996.79315602938</v></c><c r="H40" s="158"><v>0</v></c><c r="I40" s="158"><v>0</v></c><c r="J40" s="158"><f>'BAU 2020'!J40*(1-ISEAP!$O$120)</f><v>2909.2598679957564</v></c><c r="K40" s="158"><v>0</v></c><c r="L40" s="158"/><c r="M40" s="68"><f t="shared" si="2"/><v>11906.053024025136</v></c><c r="N40" s="223"><v>0</v></c><c r="O40" s="223"><v>0</v></c><c r="P40" s="223"><v>805.30050131559358</v></c><c r="Q40" s="223"><v>0</v></c><c r="R40" s="223"><v>0</v></c><c r="S40" s="223"><v>268.43350043853115</v></c><c r="T40" s="68"><f t="shared" si="4"/><v>1073.7340017541246</v></c><c r="U40" s="68"><f t="shared" si="5"/><v>27795.623790598303</v></c></row><row r="41" spans="1:21" s="21" customFormat="1" ht="15.75"><c r="A41" s="22"/><c r="B41" s="198" t="str"><f>Translation!A83</f><v>Other services</v></c><c r="C41" s="158"><f>'BAU 2020'!C41*(1-ISEAP!$O$120)</f><v>56352.946562505276</v></c><c r="D41" s="158"/><c r="E41" s="158"/><c r="F41" s="68"><f t="shared" si="0"/><v>56352.946562505276</v></c><c r="G41" s="158"><f>'BAU 2020'!G41*(1-ISEAP!$O$120)</f><v>34219.856225706018</v></c><c r="H41" s="158"><v>0</v></c><c r="I41" s="158"><v>0</v></c><c r="J41" s="158"><f>'BAU 2020'!J41*(1-ISEAP!$O$120)</f><v>11065.548877192186</v></c><c r="K41" s="158"><v>0</v></c><c r="L41" s="158"/><c r="M41" s="68"><f t="shared" si="2"/><v>45285.405102898207</v></c><c r="N41" s="223"><v>0</v></c><c r="O41" s="223"><v>0</v></c><c r="P41" s="223"><v>3063.0099965164291</v></c><c r="Q41" s="223"><v>0</v></c><c r="R41" s="223"><v>0</v></c><c r="S41" s="223"><v>1021.0033321721431</v></c><c r="T41" s="68"><f t="shared" si="4"/><v>4084.0133286885721</v></c><c r="U41" s="68"><f t="shared" si="5"/><v>105722.36499409206</v></c></row><row r="42" spans="1:21" s="21" customFormat="1" ht="15.75"><c r="A42" s="22"/><c r="B42" s="198" t="str"><f>Translation!A84</f><v>Public lighting</v></c><c r="C42" s="158"><f>'BAU 2020'!C42*(1-ISEAP!$O$120)</f><v>7431.8586057109442</v></c><c r="D42" s="158"/><c r="E42" s="158"/><c r="F42" s="68"><f t="shared" si="0"/><v>7431.8586057109442</v></c><c r="G42" s="158"><v>0</v></c><c r="H42" s="158"><v>0</v></c><c r="I42" s="158"><v>0</v></c><c r="J42" s="158"><v>0</v></c><c r="K42" s="158"><v>0</v></c><c r="L42" s="158"/><c r="M42" s="68"><f t="shared" si="2"/><v>0</v></c><c r="N42" s="223"><v>0</v></c><c r="O42" s="223"><v>0</v></c><c r="P42" s="223"><v>0</v></c><c r="Q42" s="223"><v>0</v></c><c r="R42" s="223"><v>0</v></c><c r="S42" s="223"><v>0</v></c><c r="T42" s="68"><f t="shared" si="4"/><v>0</v></c><c r="U42" s="68"><f t="shared" si="5"/><v>7431.8586057109442</v></c></row><row r="43" spans="1:21" s="21" customFormat="1" ht="15.75"><c r="A43" s="22"/><c r="B43" s="65" t="str"><f>Translation!A85</f><v>TRANSPORTS</v></c><c r="C43" s="124"><f>SUM(C44:C47)</f><v>33.904698388797016</v></c><c r="D43" s="124"><f>SUM(D44:D47)</f><v>0</v></c><c r="E43" s="124"><f>SUM(E44:E47)</f><v>0</v></c><c r="F43" s="68"><f t="shared" si="0"/><v>33.904698388797016</v></c><c r="G43" s="124"><f t="shared" ref="G43:J43" si="12">SUM(G44:G47)</f><v>0</v></c><c r="H43" s="124"><f t="shared" si="12"/><v>218766.83032329992</v></c><c r="I43" s="124"><f t="shared" si="12"/><v>289656.34605972777</v></c><c r="J43" s="124"><f t="shared" si="12"/><v>0</v></c><c r="K43" s="124"><f>SUM(K44:K47)</f><v>0</v></c><c r="L43" s="124"><f t="shared" ref="L43" si="13">SUM(L44:L47)</f><v>0</v></c><c r="M43" s="68"><f t="shared" si="2"/><v>508423.17638302769</v></c><c r="N43" s="124"><f t="shared" ref="N43:S43" si="14">SUM(N44:N47)</f><v>0</v></c><c r="O43" s="124"><f t="shared" si="14"/><v>0</v></c><c r="P43" s="124"><f t="shared" si="14"/><v>0</v></c><c r="Q43" s="124"><f t="shared" si="14"/><v>0</v></c><c r="R43" s="124"><f t="shared" si="14"/><v>0</v></c><c r="S43" s="124"><f t="shared" si="14"/><v>12655.975167009112</v></c><c r="T43" s="68"><f t="shared" si="4"/><v>12655.975167009112</v></c><c r="U43" s="68"><f t="shared" si="5"/><v>521113.05624842562</v></c></row><row r="44" spans="1:21" s="21" customFormat="1" ht="45"><c r="A44" s="22"/><c r="B44" s="198" t="str"><f>Translation!A86</f><v>Passenger road transport and other passenger road transport services (public transports, taxi, tourism, school buses, etc.)</v></c><c r="C44" s="158"><f>'BAU 2020'!C44*(1-ISEAP!$O$120)</f><v>33.904698388797016</v></c><c r="D44" s="158"/><c r="E44" s="158"/><c r="F44" s="68"><f t="shared" si="0"/><v>33.904698388797016</v></c><c r="G44" s="158"><v>0</v></c><c r="H44" s="158"><f>'BAU 2020'!H44*(1-ISEAP!$O$120)</f><v>4076.1545931586365</v></c><c r="I44" s="158"><f>'BAU 2020'!I44*(1-ISEAP!$O$120)</f><v>5396.9975415562694</v></c><c r="J44" s="158"/><c r="K44" s="158"/><c r="L44" s="158"/><c r="M44" s="68"><f t="shared" si="2"/><v>9473.1521347149064</v></c><c r="N44" s="158"/><c r="O44" s="158"/><c r="P44" s="158"/><c r="Q44" s="158"/><c r="R44" s="158"/><c r="S44" s="158"><v>0</v></c><c r="T44" s="68"><f t="shared" si="4"/><v>0</v></c><c r="U44" s="68"><f t="shared" si="5"/><v>9507.056833103703</v></c></row><row r="45" spans="1:21" s="21" customFormat="1" ht="15.75"><c r="A45" s="22"/><c r="B45" s="198" t="str"><f>Translation!A87</f><v>Freight transport by road and removal services</v></c><c r="C45" s="158"/><c r="D45" s="158"/><c r="E45" s="158"/><c r="F45" s="68"><f t="shared" si="0"/><v>0</v></c><c r="G45" s="158"><v>0</v></c><c r="H45" s="158"><f>'BAU 2020'!H45*(1-ISEAP!$O$120)</f><v>65218.473490538185</v></c><c r="I45" s="158"><f>'BAU 2020'!I45*(1-ISEAP!$O$120)</f><v>86351.960664900311</v></c><c r="J45" s="158"/><c r="K45" s="158"/><c r="L45" s="158"/><c r="M45" s="68"><f t="shared" si="2"/><v>151570.4341554385</v></c><c r="N45" s="158"/><c r="O45" s="158"/><c r="P45" s="158"/><c r="Q45" s="158"/><c r="R45" s="158"/><c r="S45" s="158"><v>3844.6168102987244</v></c><c r="T45" s="68"><f t="shared" si="4"/><v>3844.6168102987244</v></c><c r="U45" s="68"><f t="shared" si="5"/><v>155415.05096573723</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v>0</v></c><c r="T46" s="68"><f t="shared" si="4"/><v>0</v></c><c r="U46" s="68"><f t="shared" si="5"/><v>0</v></c></row><row r="47" spans="1:21" s="21" customFormat="1" ht="15.75"><c r="A47" s="22"/><c r="B47" s="197" t="str"><f>Translation!A89</f><v>Private transports</v></c><c r="C47" s="158"/><c r="D47" s="158"/><c r="E47" s="158"/><c r="F47" s="68"><f t="shared" si="0"/><v>0</v></c><c r="G47" s="158"><v>0</v></c><c r="H47" s="158"><f>'BAU 2020'!H47*(1-ISEAP!$O$120)</f><v>149472.2022396031</v></c><c r="I47" s="158"><f>'BAU 2020'!I47*(1-ISEAP!$O$120)</f><v>197907.38785327118</v></c><c r="J47" s="158"/><c r="K47" s="158"/><c r="L47" s="158"/><c r="M47" s="68"><f t="shared" si="2"/><v>347379.59009287425</v></c><c r="N47" s="158"/><c r="O47" s="158"/><c r="P47" s="158"/><c r="Q47" s="158"/><c r="R47" s="158"/><c r="S47" s="158"><v>8811.3583567103869</v></c><c r="T47" s="68"><f t="shared" si="4"/><v>8811.3583567103869</v></c><c r="U47" s="68"><f t="shared" si="5"/><v>356190.94844958466</v></c></row><row r="48" spans="1:21" s="21" customFormat="1" ht="15.75"><c r="A48" s="22"/><c r="B48" s="77" t="str"><f>Translation!A117</f><v>TOTAL FOR INTERNAL MARKET</v></c><c r="C48" s="69"><f>C17+C27+C30+C34+C43</f><v>361123.07610910112</v></c><c r="D48" s="69"><f>D17+D27+D30+D34+D43</f><v>0</v></c><c r="E48" s="69"><f>E17+E27+E30+E34+E43</f><v>0</v></c><c r="F48" s="68"><f t="shared" si="0"/><v>361123.07610910112</v></c><c r="G48" s="69"><f>G17+G27+G30+G34+G43</f><v>191346.3996943513</v></c><c r="H48" s="69"><f t="shared" ref="H48:L48" si="15">H17+H27+H30+H34+H43</f><v>218766.83032329992</v></c><c r="I48" s="69"><f t="shared" si="15"/><v>289656.34605972777</v></c><c r="J48" s="69"><f>J17+J27+J30+J34+J43</f><v>49477.460695661764</v></c><c r="K48" s="69"><f t="shared" si="15"/><v>0</v></c><c r="L48" s="69"><f t="shared" si="15"/><v>0</v></c><c r="M48" s="68"><f>SUM(G48:L48)</f><v>749247.03677304077</v></c><c r="N48" s="69"><f t="shared" ref="N48:S48" si="16">N17+N27+N30+N34+N43</f><v>0</v></c><c r="O48" s="69"><f t="shared" si="16"/><v>0</v></c><c r="P48" s="69"><f t="shared" si="16"/><v>35112.140782403367</v></c><c r="Q48" s="69"><f t="shared" si="16"/><v>669.07938803846218</v></c><c r="R48" s="69"><f t="shared" si="16"/><v>0</v></c><c r="S48" s="69"><f t="shared" si="16"/><v>30235.031071738929</v></c><c r="T48" s="68"><f t="shared" si="4"/><v>66016.251242180762</v></c><c r="U48" s="68"><f t="shared" si="5"/><v>1176386.3641243228</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1" t="str"><f>Translation!A120</f><v>PRODUCTION SECTOR</v></c><c r="C55" s="286" t="str"><f>Translation!A121</f><v>ENERGY SOURCE</v></c><c r="D55" s="287"/><c r="E55" s="287"/><c r="F55" s="287"/><c r="G55" s="287"/><c r="H55" s="287"/><c r="I55" s="287"/><c r="J55" s="287"/><c r="K55" s="287"/><c r="L55" s="287"/><c r="M55" s="287"/><c r="N55" s="287"/><c r="O55" s="287"/><c r="P55" s="287"/><c r="Q55" s="287"/><c r="R55" s="287"/><c r="S55" s="288"/><c r="T55" s="286" t="str"><f>Translation!A138</f><v>SECONDARY ENERGY CONVERSION</v></c><c r="U55" s="287"/><c r="V55" s="288"/><c r="W55" s="275" t="str"><f>Translation!A129</f><v>ENERGY FLUXES</v></c><c r="X55" s="276"/><c r="Y55" s="276"/><c r="Z55" s="276"/><c r="AA55" s="276"/><c r="AB55" s="277"/><c r="AC55" s="292" t="str"><f>Translation!A118</f><v>TOTAL</v></c><c r="AD55" s="249" t="str"><f>Translation!A137</f><v>Distribution losses and self-consumption</v></c></row><row r="56" spans="2:32" s="55" customFormat="1" ht="18" customHeight="1"><c r="B56" s="282"/><c r="C56" s="289" t="str"><f>Translation!A98</f><v>Fossil fuels</v></c><c r="D56" s="290"/><c r="E56" s="290"/><c r="F56" s="290"/><c r="G56" s="290"/><c r="H56" s="290"/><c r="I56" s="291"/><c r="J56" s="289" t="str"><f>Translation!A106</f><v>Renewable energy sources (from systems connected to public networks)</v></c><c r="K56" s="290"/><c r="L56" s="290"/><c r="M56" s="290"/><c r="N56" s="290"/><c r="O56" s="290"/><c r="P56" s="290"/><c r="Q56" s="290"/><c r="R56" s="291"/><c r="S56" s="249" t="str"><f>Translation!A116</f><v>Subtotal</v></c><c r="T56" s="273" t="str"><f>Translation!A139</f><v>Electricity conversion to cold</v></c><c r="U56" s="273" t="str"><f>Translation!A140</f><v>Heat conversion to cold</v></c><c r="V56" s="249" t="str"><f>Translation!A116</f><v>Subtotal</v></c><c r="W56" s="294" t="str"><f>Translation!A130</f><v>Storage</v></c><c r="X56" s="295"/><c r="Y56" s="293" t="str"><f>Translation!A133</f><v>External connection</v></c><c r="Z56" s="293"/><c r="AA56" s="281" t="str"><f>Translation!A136</f><v>Reexportation and external consumption</v></c><c r="AB56" s="249" t="str"><f>Translation!A116</f><v>Subtotal</v></c><c r="AC56" s="292"/><c r="AD56" s="249"/></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49"/><c r="T57" s="274"/><c r="U57" s="274"/><c r="V57" s="249"/><c r="W57" s="117" t="str"><f>Translation!A131</f><v>Input to storage</v></c><c r="X57" s="117" t="str"><f>Translation!A132</f><v>Output from storage</v></c><c r="Y57" s="117" t="str"><f>Translation!A134</f><v>Import to island</v></c><c r="Z57" s="117" t="str"><f>Translation!A135</f><v>Export from island</v></c><c r="AA57" s="282"/><c r="AB57" s="249"/><c r="AC57" s="292"/><c r="AD57" s="249"/></row><row r="58" spans="2:32" s="55" customFormat="1" ht="15.75"><c r="B58" s="199" t="str"><f>Translation!A123</f><v>Electricity</v></c><c r="C58" s="158"><f>'BAU 2020'!C58*(1-ISEAP!$O$120)</f><v>92693.079950897416</v></c><c r="D58" s="158"><f>'BAU 2020'!D58*(1-ISEAP!$O$120)</f><v>5055.7424667201503</v></c><c r="E58" s="164"/><c r="F58" s="164"/><c r="G58" s="158"><f>'BAU 2020'!G58*(1-ISEAP!$O$120)</f><v>263374.06252824888</v></c><c r="H58" s="164"/><c r="I58" s="63"><f>SUM(C58:H58)</f><v>361122.88494586642</v></c><c r="J58" s="164"/><c r="K58" s="164"/><c r="L58" s="164"/><c r="M58" s="164"/><c r="N58" s="164"/><c r="O58" s="164"/><c r="P58" s="164"/><c r="Q58" s="164"/><c r="R58" s="63"><f>SUM(J58:Q58)</f><v>0</v></c><c r="S58" s="63"><f>I58+R58</f><v>361122.88494586642</v></c><c r="T58" s="164"/><c r="U58" s="164"/><c r="V58" s="63"><f>-T58</f><v>0</v></c><c r="W58" s="164"/><c r="X58" s="164"/><c r="Y58" s="164"/><c r="Z58" s="164"/><c r="AA58" s="201"><f>$C$49+$C$50+$C$51</f><v>0</v></c><c r="AB58" s="63"><f>-SUM(W58)+SUM(X58:Y58)-SUM(Z58:AA58)</f><v>0</v></c><c r="AC58" s="68"><f>S58+V58+AB58</f><v>361122.88494586642</v></c><c r="AD58" s="202"><f>AC58-C48</f><v>-0.19116323470370844</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9">SUM(C58:C60)</f><v>92693.079950897416</v></c><c r="D61" s="57"><f t="shared" si="19"/><v>5055.7424667201503</v></c><c r="E61" s="57"><f t="shared" si="19"/><v>0</v></c><c r="F61" s="57"><f t="shared" si="19"/><v>0</v></c><c r="G61" s="57"><f t="shared" si="19"/><v>263374.06252824888</v></c><c r="H61" s="57"><f t="shared" si="19"/><v>0</v></c><c r="I61" s="57"><f t="shared" si="19"/><v>361122.88494586642</v></c><c r="J61" s="57"><f t="shared" si="19"/><v>0</v></c><c r="K61" s="57"><f t="shared" si="19"/><v>0</v></c><c r="L61" s="57"><f t="shared" si="19"/><v>0</v></c><c r="M61" s="57"><f t="shared" si="19"/><v>0</v></c><c r="N61" s="57"><f t="shared" si="19"/><v>0</v></c><c r="O61" s="57"><f t="shared" si="19"/><v>0</v></c><c r="P61" s="57"><f t="shared" si="19"/><v>0</v></c><c r="Q61" s="57"><f t="shared" si="19"/><v>0</v></c><c r="R61" s="57"><f t="shared" si="19"/><v>0</v></c><c r="S61" s="57"><f t="shared" si="19"/><v>361122.88494586642</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361122.88494586642</v></c><c r="AD61" s="57"><f t="shared" si="19"/><v>-0.19116323470370844</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1" t="str"><f>Translation!A120</f><v>PRODUCTION SECTOR</v></c><c r="C64" s="300" t="str"><f>Translation!A142</f><v>PRIMARY ENERGY SOURCE</v></c><c r="D64" s="301"/><c r="E64" s="301"/><c r="F64" s="301"/><c r="G64" s="301"/><c r="H64" s="301"/><c r="I64" s="301"/><c r="J64" s="301"/><c r="K64" s="301"/><c r="L64" s="301"/><c r="M64" s="301"/><c r="N64" s="301"/><c r="O64" s="301"/><c r="P64" s="301"/><c r="Q64" s="301"/><c r="R64" s="301"/><c r="S64" s="302"/><c r="T64" s="296" t="str"><f>Translation!A127</f><v>Conversion losses from primary to secondary energy</v></c><c r="U64" s="61"/><c r="V64" s="61"/><c r="W64" s="72"/><c r="X64" s="61"/><c r="Y64" s="61"/><c r="Z64" s="61"/><c r="AA64" s="61"/><c r="AB64" s="61"/><c r="AC64" s="61"/><c r="AD64" s="61"/><c r="AE64" s="61"/></row><row r="65" spans="2:32" s="55" customFormat="1" ht="15" customHeight="1"><c r="B65" s="282"/><c r="C65" s="300" t="str"><f>Translation!A98</f><v>Fossil fuels</v></c><c r="D65" s="301"/><c r="E65" s="301"/><c r="F65" s="301"/><c r="G65" s="301"/><c r="H65" s="301"/><c r="I65" s="302"/><c r="J65" s="300" t="str"><f>Translation!A107</f><v>Renewable energy sources</v></c><c r="K65" s="301"/><c r="L65" s="301"/><c r="M65" s="301"/><c r="N65" s="301"/><c r="O65" s="301"/><c r="P65" s="301"/><c r="Q65" s="301"/><c r="R65" s="302"/><c r="S65" s="299" t="str"><f>Translation!A118</f><v>TOTAL</v></c><c r="T65" s="297"/><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299"/><c r="T66" s="298"/><c r="U66" s="61"/><c r="V66" s="61"/><c r="W66" s="72"/><c r="X66" s="61"/><c r="Y66" s="61"/><c r="Z66" s="61"/><c r="AA66" s="61"/><c r="AB66" s="61"/><c r="AC66" s="61"/><c r="AD66" s="61"/><c r="AE66" s="61"/></row><row r="67" spans="2:32" s="55" customFormat="1" ht="15.75"><c r="B67" s="199" t="str"><f>Translation!A123</f><v>Electricity</v></c><c r="C67" s="158"><f>'BAU 2020'!C67*(1-ISEAP!$O$120)</f><v>264837.48392847233</v></c><c r="D67" s="158"><f>'BAU 2020'!D67*(1-ISEAP!$O$120)</f><v>16308.948406369245</v></c><c r="E67" s="164"/><c r="F67" s="164"/><c r="G67" s="158"><f>'BAU 2020'!G67*(1-ISEAP!$O$120)</f><v>598577.9882779168</v></c><c r="H67" s="164"/><c r="I67" s="63"><f>SUM(C67:H67)</f><v>879724.42061275837</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879724.42061275837</v></c><c r="T67" s="75"><f>S67-AC58+AB58</f><v>518601.53566689196</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2">SUM(C67:C69)</f><v>264837.48392847233</v></c><c r="D70" s="57"><f t="shared" si="22"/><v>16308.948406369245</v></c><c r="E70" s="57"><f t="shared" si="22"/><v>0</v></c><c r="F70" s="57"><f t="shared" si="22"/><v>0</v></c><c r="G70" s="57"><f t="shared" si="22"/><v>598577.9882779168</v></c><c r="H70" s="57"><f t="shared" si="22"/><v>0</v></c><c r="I70" s="57"><f t="shared" si="22"/><v>879724.42061275837</v></c><c r="J70" s="57"><f t="shared" si="22"/><v>0</v></c><c r="K70" s="57"><f t="shared" si="22"/><v>0</v></c><c r="L70" s="57"><f t="shared" si="22"/><v>0</v></c><c r="M70" s="57"><f t="shared" si="22"/><v>0</v></c><c r="N70" s="57"><f t="shared" si="22"/><v>0</v></c><c r="O70" s="57"><f t="shared" si="22"/><v>0</v></c><c r="P70" s="57"><f t="shared" si="22"/><v>0</v></c><c r="Q70" s="57"><f t="shared" si="22"/><v>0</v></c><c r="R70" s="57"><f t="shared" si="22"/><v>0</v></c><c r="S70" s="57"><f t="shared" si="22"/><v>879724.42061275837</v></c><c r="T70" s="75"><f>S70-AC61+AB61</f><v>518601.53566689196</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78" t="str"><f>Translation!A122</f><v>Energy product</v></c><c r="C73" s="286" t="str"><f>Translation!A142</f><v>PRIMARY ENERGY SOURCE</v></c><c r="D73" s="287"/><c r="E73" s="287"/><c r="F73" s="287"/><c r="G73" s="287"/><c r="H73" s="287"/><c r="I73" s="287"/><c r="J73" s="287"/><c r="K73" s="287"/><c r="L73" s="287"/><c r="M73" s="287"/><c r="N73" s="287"/><c r="O73" s="287"/><c r="P73" s="287"/><c r="Q73" s="287"/><c r="R73" s="287"/><c r="S73" s="287"/><c r="T73" s="287"/><c r="U73" s="287"/><c r="V73" s="287"/><c r="W73" s="287"/><c r="X73" s="287"/><c r="Y73" s="288"/></row><row r="74" spans="2:32" s="55" customFormat="1" ht="15" customHeight="1"><c r="B74" s="279"/><c r="C74" s="286" t="str"><f>Translation!A98</f><v>Fossil fuels</v></c><c r="D74" s="287"/><c r="E74" s="287"/><c r="F74" s="287"/><c r="G74" s="287"/><c r="H74" s="287"/><c r="I74" s="288"/><c r="J74" s="286" t="str"><f>Translation!A107</f><v>Renewable energy sources</v></c><c r="K74" s="287"/><c r="L74" s="287"/><c r="M74" s="287"/><c r="N74" s="287"/><c r="O74" s="287"/><c r="P74" s="287"/><c r="Q74" s="287"/><c r="R74" s="288"/><c r="S74" s="275" t="str"><f>Translation!A123</f><v>Electricity</v></c><c r="T74" s="276"/><c r="U74" s="276"/><c r="V74" s="277"/><c r="W74" s="74" t="str"><f>Translation!A124</f><v>Heat</v></c><c r="X74" s="74" t="str"><f>Translation!A125</f><v>Cold</v></c><c r="Y74" s="281" t="str"><f>Translation!A118</f><v>TOTAL</v></c></row><row r="75" spans="2:32" s="55" customFormat="1" ht="46.5" customHeight="1"><c r="B75" s="280"/><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2"/></row><row r="76" spans="2:32" s="55" customFormat="1" ht="15.75"><c r="B76" s="114" t="str"><f>Translation!A118</f><v>TOTAL</v></c><c r="C76" s="201"><f>G48+C70</f><v>456183.88362282363</v></c><c r="D76" s="201"><f t="shared" ref="C76:H76" si="23">H48+D70</f><v>235075.77872966917</v></c><c r="E76" s="201"><f t="shared" si="23"/><v>289656.34605972777</v></c><c r="F76" s="201"><f t="shared" si="23"/><v>49477.460695661764</v></c><c r="G76" s="201"><f t="shared" si="23"/><v>598577.9882779168</v></c><c r="H76" s="201"><f t="shared" si="23"/><v>0</v></c><c r="I76" s="57"><f>SUM(C76:H76)</f><v>1628971.4573857989</v></c><c r="J76" s="201"><f t="shared" ref="J76:O76" si="24">N48+J70</f><v>0</v></c><c r="K76" s="201"><f t="shared" si="24"/><v>0</v></c><c r="L76" s="201"><f t="shared" si="24"/><v>35112.140782403367</v></c><c r="M76" s="201"><f t="shared" si="24"/><v>669.07938803846218</v></c><c r="N76" s="201"><f t="shared" si="24"/><v>0</v></c><c r="O76" s="201"><f t="shared" si="24"/><v>30235.031071738929</v></c><c r="P76" s="201"><f>P70</f><v>0</v></c><c r="Q76" s="201"><f>Q70</f><v>0</v></c><c r="R76" s="57"><f>SUM(J76:Q76)</f><v>66016.251242180762</v></c><c r="S76" s="201"><f>Y61</f><v>0</v></c><c r="T76" s="201"><f>Z61</f><v>0</v></c><c r="U76" s="201"><f>$C$49+$C$50+$C$51</f><v>0</v></c><c r="V76" s="57"><f>S76-T76-U76</f><v>0</v></c><c r="W76" s="201"><f>$D$49+$D$50+$D$51</f><v>0</v></c><c r="X76" s="201"><f>$E$49+$E$50+$E$51</f><v>0</v></c><c r="Y76" s="57"><f>I76+R76+V76-W76-X76</f><v>1694987.7086279797</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1" t="str"><f>Translation!A120</f><v>PRODUCTION SECTOR</v></c><c r="C79" s="300" t="str"><f>Translation!A142</f><v>PRIMARY ENERGY SOURCE</v></c><c r="D79" s="301"/><c r="E79" s="301"/><c r="F79" s="301"/><c r="G79" s="301"/><c r="H79" s="301"/><c r="I79" s="301"/><c r="J79" s="301"/><c r="K79" s="301"/><c r="L79" s="301"/><c r="M79" s="301"/><c r="N79" s="301"/><c r="O79" s="301"/><c r="P79" s="301"/><c r="Q79" s="301"/><c r="R79" s="301"/><c r="S79" s="302"/><c r="T79" s="72"/><c r="V79" s="61"/><c r="W79" s="61"/><c r="X79" s="72"/><c r="Y79" s="61"/><c r="Z79" s="61"/><c r="AA79" s="61"/><c r="AB79" s="61"/><c r="AC79" s="61"/><c r="AD79" s="61"/><c r="AE79" s="61"/><c r="AF79" s="61"/></row><row r="80" spans="2:32" s="55" customFormat="1" ht="15" customHeight="1"><c r="B80" s="282"/><c r="C80" s="300" t="str"><f>Translation!A98</f><v>Fossil fuels</v></c><c r="D80" s="301"/><c r="E80" s="301"/><c r="F80" s="301"/><c r="G80" s="301"/><c r="H80" s="301"/><c r="I80" s="302"/><c r="J80" s="300" t="str"><f>Translation!A107</f><v>Renewable energy sources</v></c><c r="K80" s="301"/><c r="L80" s="301"/><c r="M80" s="301"/><c r="N80" s="301"/><c r="O80" s="301"/><c r="P80" s="301"/><c r="Q80" s="301"/><c r="R80" s="302"/><c r="S80" s="299"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299"/><c r="T81" s="72"/><c r="V81" s="61"/><c r="W81" s="61"/><c r="X81" s="72"/><c r="Y81" s="61"/><c r="Z81" s="61"/><c r="AA81" s="61"/><c r="AB81" s="61"/><c r="AC81" s="61"/><c r="AD81" s="61"/><c r="AE81" s="61"/><c r="AF81" s="61"/></row><row r="82" spans="1:32" s="55" customFormat="1" ht="15.75"><c r="B82" s="199" t="str"><f>Translation!A123</f><v>Electricity</v></c><c r="C82" s="203"><f t="shared" ref="C82:P84" si="25">IF(C67&gt;0,C58/C67,"-")</f><v>0.34999985113864052</v></c><c r="D82" s="203"><f t="shared" si="25"/><v>0.30999806613807773</v></c><c r="E82" s="203" t="str"><f t="shared" si="25"/><v>-</v></c><c r="F82" s="203" t="str"><f t="shared" si="25"/><v>-</v></c><c r="G82" s="203"><f t="shared" si="25"/><v>0.4399995784775928</v></c><c r="H82" s="203" t="str"><f t="shared" si="25"/><v>-</v></c><c r="I82" s="71"><f t="shared" si="25"/><v>0.41049546481195998</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0.41049546481195998</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3" t="str"><f>Translation!A56</f><v>DEMAND SECTOR</v></c><c r="C88" s="268" t="str"><f>Translation!A93</f><v>ENERGY FOR FINAL USE</v></c><c r="D88" s="269"/><c r="E88" s="269"/><c r="F88" s="269"/><c r="G88" s="269"/><c r="H88" s="269"/><c r="I88" s="269"/><c r="J88" s="269"/><c r="K88" s="269"/><c r="L88" s="269"/><c r="M88" s="269"/><c r="N88" s="269"/><c r="O88" s="269"/><c r="P88" s="269"/><c r="Q88" s="269"/><c r="R88" s="269"/><c r="S88" s="269"/><c r="T88" s="269"/><c r="U88" s="270"/></row><row r="89" spans="1:32" s="55" customFormat="1" ht="18" customHeight="1"><c r="B89" s="274"/><c r="C89" s="268" t="str"><f>Translation!A94</f><v>Centralized energy services</v></c><c r="D89" s="269"/><c r="E89" s="269"/><c r="F89" s="270"/><c r="G89" s="268" t="str"><f>Translation!A98</f><v>Fossil fuels</v></c><c r="H89" s="269"/><c r="I89" s="269"/><c r="J89" s="269"/><c r="K89" s="269"/><c r="L89" s="269"/><c r="M89" s="270"/><c r="N89" s="268" t="str"><f>Translation!A105</f><v>Renewable energy sources (excluding electricity and heat sold to public networks)</v></c><c r="O89" s="269"/><c r="P89" s="269"/><c r="Q89" s="269"/><c r="R89" s="269"/><c r="S89" s="269"/><c r="T89" s="270"/><c r="U89" s="271"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2"/></row><row r="91" spans="1:32" s="21" customFormat="1" ht="15.75"><c r="A91" s="22"/><c r="B91" s="70" t="str"><f>Translation!A59</f><v>RESIDENTIAL</v></c><c r="C91" s="68"><f>SUM(C92:C100)</f><v>83995.188974863049</v></c><c r="D91" s="68"><f>SUM(D92:D100)</f><v>0</v></c><c r="E91" s="68"><f>SUM(E92:E100)</f><v>0</v></c><c r="F91" s="68"><f t="shared" ref="F91:F122" si="27">SUM(C91:E91)</f><v>83995.188974863049</v></c><c r="G91" s="68"><f t="shared" ref="G91:L91" si="28">SUM(G92:G100)</f><v>19365.115701847018</v></c><c r="H91" s="68"><f t="shared" si="28"/><v>0</v></c><c r="I91" s="68"><f t="shared" si="28"/><v>0</v></c><c r="J91" s="68"><f t="shared" si="28"/><v>2385.4062167435341</v></c><c r="K91" s="68"><f t="shared" si="28"/><v>0</v></c><c r="L91" s="68"><f t="shared" si="28"/><v>0</v></c><c r="M91" s="68"><f t="shared" ref="M91:M122" si="29">SUM(G91:L91)</f><v>21750.521918590552</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105745.71089345359</v></c></row><row r="92" spans="1:32" s="21" customFormat="1" ht="15.75"><c r="A92" s="22"/><c r="B92" s="197" t="str"><f>Translation!A60</f><v>Hot water</v></c><c r="C92" s="200"><f>IF(C$48&gt;0, ($S$128+$V$137)/C$48,0)*C18</f><v>2519.8556692458924</v></c><c r="D92" s="200"><f t="shared" ref="D92:D100" si="33">IF(D$48&gt;0, ($S$129)/D$48,0)*D18</f><v>0</v></c><c r="E92" s="200"><f t="shared" ref="E92:E100" si="34">IF(E$48&gt;0, ($S$130)/E$48,0)*E18</f><v>0</v></c><c r="F92" s="68"><f t="shared" si="27"/><v>2519.8556692458924</v></c><c r="G92" s="200"><f>'CO2 factors'!C$7*G18</f><v>1115.4440833025792</v></c><c r="H92" s="200"><f>'CO2 factors'!D$7*H18</f><v>0</v></c><c r="I92" s="200"><f>'CO2 factors'!E$7*I18</f><v>0</v></c><c r="J92" s="200"><f>'CO2 factors'!F$7*J18</f><v>68.537270863445684</v></c><c r="K92" s="200"><f>'CO2 factors'!G$7*K18</f><v>0</v></c><c r="L92" s="200"><f>'CO2 factors'!H$7*L18</f><v>0</v></c><c r="M92" s="68"><f t="shared" si="29"/><v>1183.9813541660249</v></c><c r="N92" s="200"><f>'CO2 factors'!J$7*N18</f><v>0</v></c><c r="O92" s="200"><f>'CO2 factors'!K$7*O18</f><v>0</v></c><c r="P92" s="200"><f>'CO2 factors'!L$7*P18</f><v>0</v></c><c r="Q92" s="200"><f>'CO2 factors'!M$7*Q18</f><v>0</v></c><c r="R92" s="200"><f>'CO2 factors'!N$7*R18</f><v>0</v></c><c r="S92" s="200"><f>'CO2 factors'!O$7*S18</f><v>0</v></c><c r="T92" s="68"><f t="shared" si="31"/><v>0</v></c><c r="U92" s="68"><f t="shared" si="32"/><v>3703.8370234119175</v></c></row><row r="93" spans="1:32" s="21" customFormat="1" ht="15.75"><c r="A93" s="22"/><c r="B93" s="197" t="str"><f>Translation!A61</f><v>Heating and cooling</v></c><c r="C93" s="200"><f t="shared" ref="C92:C100" si="35">IF(C$48&gt;0, ($S$128+$V$137)/C$48,0)*C19</f><v>60476.536061901388</v></c><c r="D93" s="200"><f t="shared" si="33"/><v>0</v></c><c r="E93" s="200"><f t="shared" si="34"/><v>0</v></c><c r="F93" s="68"><f t="shared" si="27"/><v>60476.536061901388</v></c><c r="G93" s="200"><f>'CO2 factors'!C$7*G19</f><v>18249.671618544438</v></c><c r="H93" s="200"><f>'CO2 factors'!D$7*H19</f><v>0</v></c><c r="I93" s="200"><f>'CO2 factors'!E$7*I19</f><v>0</v></c><c r="J93" s="200"><f>'CO2 factors'!F$7*J19</f><v>1846.8990885307464</v></c><c r="K93" s="200"><f>'CO2 factors'!G$7*K19</f><v>0</v></c><c r="L93" s="200"><f>'CO2 factors'!H$7*L19</f><v>0</v></c><c r="M93" s="68"><f t="shared" si="29"/><v>20096.570707075185</v></c><c r="N93" s="200"><f>'CO2 factors'!J$7*N19</f><v>0</v></c><c r="O93" s="200"><f>'CO2 factors'!K$7*O19</f><v>0</v></c><c r="P93" s="200"><f>'CO2 factors'!L$7*P19</f><v>0</v></c><c r="Q93" s="200"><f>'CO2 factors'!M$7*Q19</f><v>0</v></c><c r="R93" s="200"><f>'CO2 factors'!N$7*R19</f><v>0</v></c><c r="S93" s="200"><f>'CO2 factors'!O$7*S19</f><v>0</v></c><c r="T93" s="68"><f t="shared" si="31"/><v>0</v></c><c r="U93" s="68"><f t="shared" si="32"/><v>80573.106768976577</v></c></row><row r="94" spans="1:32" s="21" customFormat="1" ht="15.75"><c r="A94" s="22"/><c r="B94" s="197" t="str"><f>Translation!A62</f><v>Lighting</v></c><c r="C94" s="200"><f t="shared" si="35"/><v>3359.8075589945224</v></c><c r="D94" s="200"><f t="shared" si="33"/><v>0</v></c><c r="E94" s="200"><f t="shared" si="34"/><v>0</v></c><c r="F94" s="68"><f t="shared" si="27"/><v>3359.8075589945224</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3359.8075589945224</v></c></row><row r="95" spans="1:32" s="21" customFormat="1" ht="15.75"><c r="A95" s="22"/><c r="B95" s="197" t="str"><f>Translation!A63</f><v>Cooking</v></c><c r="C95" s="200"><f t="shared" si="35"/><v>2519.8556692458924</v></c><c r="D95" s="200"><f t="shared" si="33"/><v>0</v></c><c r="E95" s="200"><f t="shared" si="34"/><v>0</v></c><c r="F95" s="68"><f t="shared" si="27"/><v>2519.8556692458924</v></c><c r="G95" s="200"><f>'CO2 factors'!C$7*G21</f><v>0</v></c><c r="H95" s="200"><f>'CO2 factors'!D$7*H21</f><v>0</v></c><c r="I95" s="200"><f>'CO2 factors'!E$7*I21</f><v>0</v></c><c r="J95" s="200"><f>'CO2 factors'!F$7*J21</f><v>469.96985734934179</v></c><c r="K95" s="200"><f>'CO2 factors'!G$7*K21</f><v>0</v></c><c r="L95" s="200"><f>'CO2 factors'!H$7*L21</f><v>0</v></c><c r="M95" s="68"><f t="shared" si="29"/><v>469.96985734934179</v></c><c r="N95" s="200"><f>'CO2 factors'!J$7*N21</f><v>0</v></c><c r="O95" s="200"><f>'CO2 factors'!K$7*O21</f><v>0</v></c><c r="P95" s="200"><f>'CO2 factors'!L$7*P21</f><v>0</v></c><c r="Q95" s="200"><f>'CO2 factors'!M$7*Q21</f><v>0</v></c><c r="R95" s="200"><f>'CO2 factors'!N$7*R21</f><v>0</v></c><c r="S95" s="200"><f>'CO2 factors'!O$7*S21</f><v>0</v></c><c r="T95" s="68"><f t="shared" si="31"/><v>0</v></c><c r="U95" s="68"><f t="shared" si="32"/><v>2989.8255265952344</v></c></row><row r="96" spans="1:32" s="21" customFormat="1" ht="15.75"><c r="A96" s="22"/><c r="B96" s="197" t="str"><f>Translation!A64</f><v>Refrigerator and freezers</v></c><c r="C96" s="200"><f t="shared" si="35"/><v>0</v></c><c r="D96" s="200"><f t="shared" si="33"/><v>0</v></c><c r="E96" s="200"><f t="shared" si="34"/><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5"/><v>0</v></c><c r="D97" s="200"><f t="shared" si="33"/><v>0</v></c><c r="E97" s="200"><f t="shared" si="34"/><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5"/><v>0</v></c><c r="D98" s="200"><f t="shared" si="33"/><v>0</v></c><c r="E98" s="200"><f t="shared" si="34"/><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5"/><v>0</v></c><c r="D99" s="200"><f t="shared" si="33"/><v>0</v></c><c r="E99" s="200"><f t="shared" si="34"/><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5"/><v>15119.134015475347</v></c><c r="D100" s="200"><f t="shared" si="33"/><v>0</v></c><c r="E100" s="200"><f t="shared" si="34"/><v>0</v></c><c r="F100" s="68"><f t="shared" si="27"/><v>15119.134015475347</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15119.134015475347</v></c></row><row r="101" spans="1:21" s="21" customFormat="1" ht="15.75"><c r="A101" s="22"/><c r="B101" s="70" t="str"><f>Translation!A69</f><v>PRIMARY SECTOR</v></c><c r="C101" s="68"><f>SUM(C102:C103)</f><v>542.31758557811872</v></c><c r="D101" s="68"><f>SUM(D102:D103)</f><v>0</v></c><c r="E101" s="68"><f>SUM(E102:E103)</f><v>0</v></c><c r="F101" s="68"><f t="shared" si="27"/><v>542.31758557811872</v></c><c r="G101" s="68"><f t="shared" ref="G101:L101" si="36">SUM(G102:G103)</f><v>73.94588079923389</v></c><c r="H101" s="68"><f t="shared" si="36"/><v>0</v></c><c r="I101" s="68"><f t="shared" si="36"/><v>0</v></c><c r="J101" s="68"><f t="shared" si="36"/><v>46.447298986244029</v></c><c r="K101" s="68"><f t="shared" si="36"/><v>0</v></c><c r="L101" s="68"><f t="shared" si="36"/><v>0</v></c><c r="M101" s="68"><f t="shared" si="29"/><v>120.39317978547791</v></c><c r="N101" s="68"><f t="shared" ref="N101:S101" si="37">SUM(N102:N103)</f><v>0</v></c><c r="O101" s="68"><f t="shared" si="37"/><v>0</v></c><c r="P101" s="68"><f t="shared" si="37"/><v>0</v></c><c r="Q101" s="68"><f t="shared" si="37"/><v>0</v></c><c r="R101" s="68"><f t="shared" si="37"/><v>0</v></c><c r="S101" s="68"><f t="shared" si="37"/><v>0</v></c><c r="T101" s="68"><f t="shared" si="31"/><v>0</v></c><c r="U101" s="68"><f t="shared" si="32"/><v>662.71076536359669</v></c></row><row r="102" spans="1:21" s="21" customFormat="1" ht="15.75"><c r="A102" s="22"/><c r="B102" s="198" t="str"><f>Translation!A70</f><v>Agriculture, forestry and fishing</v></c><c r="C102" s="200"><f>IF(C$48&gt;0, ($S$128+$V$137)/C$48,0)*C28</f><v>542.31758557811872</v></c><c r="D102" s="200"><f>IF(D$48&gt;0, ($S$129)/D$48,0)*D28</f><v>0</v></c><c r="E102" s="200"><f>IF(E$48&gt;0, ($S$130)/E$48,0)*E28</f><v>0</v></c><c r="F102" s="68"><f t="shared" si="27"/><v>542.31758557811872</v></c><c r="G102" s="200"><f>'CO2 factors'!C$7*G28</f><v>73.94588079923389</v></c><c r="H102" s="200"><f>'CO2 factors'!D$7*H28</f><v>0</v></c><c r="I102" s="200"><f>'CO2 factors'!E$7*I28</f><v>0</v></c><c r="J102" s="200"><f>'CO2 factors'!F$7*J28</f><v>46.447298986244029</v></c><c r="K102" s="200"><f>'CO2 factors'!G$7*K28</f><v>0</v></c><c r="L102" s="200"><f>'CO2 factors'!H$7*L28</f><v>0</v></c><c r="M102" s="68"><f t="shared" si="29"/><v>120.39317978547791</v></c><c r="N102" s="200"><f>'CO2 factors'!J$7*N28</f><v>0</v></c><c r="O102" s="200"><f>'CO2 factors'!K$7*O28</f><v>0</v></c><c r="P102" s="200"><f>'CO2 factors'!L$7*P28</f><v>0</v></c><c r="Q102" s="200"><f>'CO2 factors'!M$7*Q28</f><v>0</v></c><c r="R102" s="200"><f>'CO2 factors'!N$7*R28</f><v>0</v></c><c r="S102" s="200"><f>'CO2 factors'!O$7*S28</f><v>0</v></c><c r="T102" s="68"><f t="shared" si="31"/><v>0</v></c><c r="U102" s="68"><f t="shared" si="32"/><v>662.71076536359669</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13563.733595583812</v></c><c r="D104" s="68"><f>SUM(D105:D107)</f><v>0</v></c><c r="E104" s="68"><f>SUM(E105:E107)</f><v>0</v></c><c r="F104" s="68"><f t="shared" si="27"/><v>13563.733595583812</v></c><c r="G104" s="68"><f t="shared" ref="G104:L104" si="38">SUM(G105:G107)</f><v>4166.8214146777909</v></c><c r="H104" s="68"><f t="shared" si="38"/><v>0</v></c><c r="I104" s="68"><f t="shared" si="38"/><v>0</v></c><c r="J104" s="68"><f t="shared" si="38"/><v>1159.0621028896066</v></c><c r="K104" s="68"><f t="shared" si="38"/><v>0</v></c><c r="L104" s="68"><f t="shared" si="38"/><v>0</v></c><c r="M104" s="68"><f t="shared" si="29"/><v>5325.8835175673976</v></c><c r="N104" s="68"><f t="shared" ref="N104:S104" si="39">SUM(N105:N107)</f><v>0</v></c><c r="O104" s="68"><f t="shared" si="39"/><v>0</v></c><c r="P104" s="68"><f t="shared" si="39"/><v>0</v></c><c r="Q104" s="68"><f t="shared" si="39"/><v>0</v></c><c r="R104" s="68"><f t="shared" si="39"/><v>0</v></c><c r="S104" s="68"><f t="shared" si="39"/><v>0</v></c><c r="T104" s="68"><f t="shared" si="31"/><v>0</v></c><c r="U104" s="68"><f t="shared" si="32"/><v>18889.617113151209</v></c></row><row r="105" spans="1:21" s="21" customFormat="1" ht="15.75"><c r="A105" s="22"/><c r="B105" s="198" t="str"><f>Translation!A73</f><v>Manufacturing</v></c><c r="C105" s="200"><f>IF(C$48&gt;0, ($S$128+$V$137)/C$48,0)*C31</f><v>12659.87978166143</v></c><c r="D105" s="200"><f>IF(D$48&gt;0, ($S$129)/D$48,0)*D31</f><v>0</v></c><c r="E105" s="200"><f>IF(E$48&gt;0, ($S$130)/E$48,0)*E31</f><v>0</v></c><c r="F105" s="68"><f t="shared" si="27"/><v>12659.87978166143</v></c><c r="G105" s="200"><f>'CO2 factors'!C$7*G31</f><v>3889.1546940031676</v></c><c r="H105" s="200"><f>'CO2 factors'!D$7*H31</f><v>0</v></c><c r="I105" s="200"><f>'CO2 factors'!E$7*I31</f><v>0</v></c><c r="J105" s="200"><f>'CO2 factors'!F$7*J31</f><v>1081.8250578763693</v></c><c r="K105" s="200"><f>'CO2 factors'!G$7*K31</f><v>0</v></c><c r="L105" s="200"><f>'CO2 factors'!H$7*L31</f><v>0</v></c><c r="M105" s="68"><f t="shared" si="29"/><v>4970.9797518795367</v></c><c r="N105" s="200"><f>'CO2 factors'!J$7*N31</f><v>0</v></c><c r="O105" s="200"><f>'CO2 factors'!K$7*O31</f><v>0</v></c><c r="P105" s="200"><f>'CO2 factors'!L$7*P31</f><v>0</v></c><c r="Q105" s="200"><f>'CO2 factors'!M$7*Q31</f><v>0</v></c><c r="R105" s="200"><f>'CO2 factors'!N$7*R31</f><v>0</v></c><c r="S105" s="200"><f>'CO2 factors'!O$7*S31</f><v>0</v></c><c r="T105" s="68"><f t="shared" si="31"/><v>0</v></c><c r="U105" s="68"><f t="shared" si="32"/><v>17630.859533540966</v></c></row><row r="106" spans="1:21" s="21" customFormat="1" ht="30"><c r="A106" s="22"/><c r="B106" s="198" t="str"><f>Translation!A74</f><v>Water supply, sewerage, waste management and remediation activities</v></c><c r="C106" s="200"><f>IF(C$48&gt;0, ($S$128+$V$137)/C$48,0)*C32</f><v>428.10341628820669</v></c><c r="D106" s="200"><f>IF(D$48&gt;0, ($S$129)/D$48,0)*D32</f><v>0</v></c><c r="E106" s="200"><f>IF(E$48&gt;0, ($S$130)/E$48,0)*E32</f><v>0</v></c><c r="F106" s="68"><f t="shared" si="27"/><v>428.10341628820669</v></c><c r="G106" s="200"><f>'CO2 factors'!C$7*G32</f><v>131.51470943569797</v></c><c r="H106" s="200"><f>'CO2 factors'!D$7*H32</f><v>0</v></c><c r="I106" s="200"><f>'CO2 factors'!E$7*I32</f><v>0</v></c><c r="J106" s="200"><f>'CO2 factors'!F$7*J32</f><v>36.582733097824168</v></c><c r="K106" s="200"><f>'CO2 factors'!G$7*K32</f><v>0</v></c><c r="L106" s="200"><f>'CO2 factors'!H$7*L32</f><v>0</v></c><c r="M106" s="68"><f t="shared" si="29"/><v>168.09744253352213</v></c><c r="N106" s="200"><f>'CO2 factors'!J$7*N32</f><v>0</v></c><c r="O106" s="200"><f>'CO2 factors'!K$7*O32</f><v>0</v></c><c r="P106" s="200"><f>'CO2 factors'!L$7*P32</f><v>0</v></c><c r="Q106" s="200"><f>'CO2 factors'!M$7*Q32</f><v>0</v></c><c r="R106" s="200"><f>'CO2 factors'!N$7*R32</f><v>0</v></c><c r="S106" s="200"><f>'CO2 factors'!O$7*S32</f><v>0</v></c><c r="T106" s="68"><f t="shared" si="31"/><v>0</v></c><c r="U106" s="68"><f t="shared" si="32"/><v>596.20085882172884</v></c></row><row r="107" spans="1:21" s="21" customFormat="1" ht="15.75"><c r="A107" s="22"/><c r="B107" s="198" t="str"><f>Translation!A75</f><v>Construction</v></c><c r="C107" s="200"><f>IF(C$48&gt;0, ($S$128+$V$137)/C$48,0)*C33</f><v>475.75039763417556</v></c><c r="D107" s="200"><f>IF(D$48&gt;0, ($S$129)/D$48,0)*D33</f><v>0</v></c><c r="E107" s="200"><f>IF(E$48&gt;0, ($S$130)/E$48,0)*E33</f><v>0</v></c><c r="F107" s="68"><f t="shared" si="27"/><v>475.75039763417556</v></c><c r="G107" s="80"><f>'CO2 factors'!C$7*G33</f><v>146.15201123892547</v></c><c r="H107" s="80"><f>'CO2 factors'!D$7*H33</f><v>0</v></c><c r="I107" s="80"><f>'CO2 factors'!E$7*I33</f><v>0</v></c><c r="J107" s="80"><f>'CO2 factors'!F$7*J33</f><v>40.65431191541326</v></c><c r="K107" s="80"><f>'CO2 factors'!G$7*K33</f><v>0</v></c><c r="L107" s="80"><f>'CO2 factors'!H$7*L33</f><v>0</v></c><c r="M107" s="68"><f t="shared" si="29"/><v>186.80632315433871</v></c><c r="N107" s="80"><f>'CO2 factors'!J$7*N33</f><v>0</v></c><c r="O107" s="80"><f>'CO2 factors'!K$7*O33</f><v>0</v></c><c r="P107" s="80"><f>'CO2 factors'!L$7*P33</f><v>0</v></c><c r="Q107" s="80"><f>'CO2 factors'!M$7*Q33</f><v>0</v></c><c r="R107" s="80"><f>'CO2 factors'!N$7*R33</f><v>0</v></c><c r="S107" s="80"><f>'CO2 factors'!O$7*S33</f><v>0</v></c><c r="T107" s="68"><f t="shared" si="31"/><v>0</v></c><c r="U107" s="68"><f t="shared" si="32"/><v>662.55672078851421</v></c></row><row r="108" spans="1:21" s="21" customFormat="1" ht="15.75"><c r="A108" s="22"/><c r="B108" s="65" t="str"><f>Translation!A76</f><v>TERTIARY SECTOR</v></c><c r="C108" s="68"><f>SUM(C109:C116)</f><v>101036.96250792345</v></c><c r="D108" s="68"><f>SUM(D109:D116)</f><v>0</v></c><c r="E108" s="68"><f>SUM(E109:E116)</f><v>0</v></c><c r="F108" s="68"><f t="shared" si="27"/><v>101036.96250792345</v></c><c r="G108" s="68"><f t="shared" ref="G108:L108" si="40">SUM(G109:G116)</f><v>29779.76251739997</v></c><c r="H108" s="68"><f t="shared" si="40"/><v>0</v></c><c r="I108" s="68"><f t="shared" si="40"/><v>0</v></c><c r="J108" s="68"><f t="shared" si="40"/><v>8283.674948339436</v></c><c r="K108" s="68"><f t="shared" si="40"/><v>0</v></c><c r="L108" s="68"><f t="shared" si="40"/><v>0</v></c><c r="M108" s="68"><f t="shared" si="29"/><v>38063.437465739407</v></c><c r="N108" s="68"><f t="shared" ref="N108:S108" si="41">SUM(N109:N116)</f><v>0</v></c><c r="O108" s="68"><f t="shared" si="41"/><v>0</v></c><c r="P108" s="68"><f t="shared" si="41"/><v>0</v></c><c r="Q108" s="68"><f t="shared" si="41"/><v>0</v></c><c r="R108" s="68"><f t="shared" si="41"/><v>0</v></c><c r="S108" s="68"><f t="shared" si="41"/><v>0</v></c><c r="T108" s="68"><f t="shared" si="31"/><v>0</v></c><c r="U108" s="68"><f t="shared" si="32"/><v>139100.39997366286</v></c></row><row r="109" spans="1:21" s="21" customFormat="1" ht="30"><c r="A109" s="22"/><c r="B109" s="198" t="str"><f>Translation!A77</f><v xml:space="preserve">Wholesale and retail trade; repair of motor vehicles and motorcycles </v></c><c r="C109" s="200"><f t="shared" ref="C109:C116" si="42">IF(C$48&gt;0, ($S$128+$V$137)/C$48,0)*C35</f><v>34210.94176939594</v></c><c r="D109" s="200"><f t="shared" ref="D109:D116" si="43">IF(D$48&gt;0, ($S$129)/D$48,0)*D35</f><v>0</v></c><c r="E109" s="200"><f t="shared" ref="E109:E116" si="44">IF(E$48&gt;0, ($S$130)/E$48,0)*E35</f><v>0</v></c><c r="F109" s="68"><f t="shared" si="27"/><v>34210.94176939594</v></c><c r="G109" s="200"><f>'CO2 factors'!C$7*G35</f><v>10509.708390868629</v></c><c r="H109" s="200"><f>'CO2 factors'!D$7*H35</f><v>0</v></c><c r="I109" s="200"><f>'CO2 factors'!E$7*I35</f><v>0</v></c><c r="J109" s="200"><f>'CO2 factors'!F$7*J35</f><v>2923.4285552453157</v></c><c r="K109" s="200"><f>'CO2 factors'!G$7*K35</f><v>0</v></c><c r="L109" s="200"><f>'CO2 factors'!H$7*L35</f><v>0</v></c><c r="M109" s="68"><f t="shared" si="29"/><v>13433.136946113944</v></c><c r="N109" s="200"><f>'CO2 factors'!J$7*N35</f><v>0</v></c><c r="O109" s="200"><f>'CO2 factors'!K$7*O35</f><v>0</v></c><c r="P109" s="200"><f>'CO2 factors'!L$7*P35</f><v>0</v></c><c r="Q109" s="200"><f>'CO2 factors'!M$7*Q35</f><v>0</v></c><c r="R109" s="200"><f>'CO2 factors'!N$7*R35</f><v>0</v></c><c r="S109" s="200"><f>'CO2 factors'!O$7*S35</f><v>0</v></c><c r="T109" s="68"><f t="shared" si="31"/><v>0</v></c><c r="U109" s="68"><f t="shared" si="32"/><v>47644.078715509881</v></c></row><row r="110" spans="1:21" s="21" customFormat="1" ht="15.75"><c r="A110" s="22"/><c r="B110" s="198" t="str"><f>Translation!A78</f><v>Accomodation and food service activities</v></c><c r="C110" s="200"><f t="shared" si="42"/><v>4347.8161657551791</v></c><c r="D110" s="200"><f t="shared" si="43"/><v>0</v></c><c r="E110" s="200"><f t="shared" si="44"/><v>0</v></c><c r="F110" s="68"><f t="shared" si="27"/><v>4347.8161657551791</v></c><c r="G110" s="200"><f>'CO2 factors'!C$7*G36</f><v>1335.6627346654388</v></c><c r="H110" s="200"><f>'CO2 factors'!D$7*H36</f><v>0</v></c><c r="I110" s="200"><f>'CO2 factors'!E$7*I36</f><v>0</v></c><c r="J110" s="200"><f>'CO2 factors'!F$7*J36</f><v>371.5340553207555</v></c><c r="K110" s="200"><f>'CO2 factors'!G$7*K36</f><v>0</v></c><c r="L110" s="200"><f>'CO2 factors'!H$7*L36</f><v>0</v></c><c r="M110" s="68"><f t="shared" si="29"/><v>1707.1967899861943</v></c><c r="N110" s="200"><f>'CO2 factors'!J$7*N36</f><v>0</v></c><c r="O110" s="200"><f>'CO2 factors'!K$7*O36</f><v>0</v></c><c r="P110" s="200"><f>'CO2 factors'!L$7*P36</f><v>0</v></c><c r="Q110" s="200"><f>'CO2 factors'!M$7*Q36</f><v>0</v></c><c r="R110" s="200"><f>'CO2 factors'!N$7*R36</f><v>0</v></c><c r="S110" s="200"><f>'CO2 factors'!O$7*S36</f><v>0</v></c><c r="T110" s="68"><f t="shared" si="31"/><v>0</v></c><c r="U110" s="68"><f t="shared" si="32"/><v>6055.0129557413729</v></c></row><row r="111" spans="1:21" s="21" customFormat="1" ht="15.75"><c r="A111" s="22"/><c r="B111" s="198" t="str"><f>Translation!A79</f><v>General public administration and social security</v></c><c r="C111" s="200"><f t="shared" si="42"/><v>7281.2672941886449</v></c><c r="D111" s="200"><f t="shared" si="43"/><v>0</v></c><c r="E111" s="200"><f t="shared" si="44"/><v>0</v></c><c r="F111" s="68"><f t="shared" si="27"/><v>7281.2672941886449</v></c><c r="G111" s="200"><f>'CO2 factors'!C$7*G37</f><v>2236.8281029418404</v></c><c r="H111" s="200"><f>'CO2 factors'!D$7*H37</f><v>0</v></c><c r="I111" s="200"><f>'CO2 factors'!E$7*I37</f><v>0</v></c><c r="J111" s="200"><f>'CO2 factors'!F$7*J37</f><v>622.20633590528405</v></c><c r="K111" s="200"><f>'CO2 factors'!G$7*K37</f><v>0</v></c><c r="L111" s="200"><f>'CO2 factors'!H$7*L37</f><v>0</v></c><c r="M111" s="68"><f t="shared" si="29"/><v>2859.0344388471244</v></c><c r="N111" s="200"><f>'CO2 factors'!J$7*N37</f><v>0</v></c><c r="O111" s="200"><f>'CO2 factors'!K$7*O37</f><v>0</v></c><c r="P111" s="200"><f>'CO2 factors'!L$7*P37</f><v>0</v></c><c r="Q111" s="200"><f>'CO2 factors'!M$7*Q37</f><v>0</v></c><c r="R111" s="200"><f>'CO2 factors'!N$7*R37</f><v>0</v></c><c r="S111" s="200"><f>'CO2 factors'!O$7*S37</f><v>0</v></c><c r="T111" s="68"><f t="shared" si="31"/><v>0</v></c><c r="U111" s="68"><f t="shared" si="32"/><v>10140.301733035769</v></c></row><row r="112" spans="1:21" s="21" customFormat="1" ht="15.75"><c r="A112" s="22"/><c r="B112" s="198" t="str"><f>Translation!A80</f><v>Defense, justice, police and fire departments</v></c><c r="C112" s="200"><f t="shared" si="42"/><v>218.81908132968232</v></c><c r="D112" s="200"><f t="shared" si="43"/><v>0</v></c><c r="E112" s="200"><f t="shared" si="44"/><v>0</v></c><c r="F112" s="68"><f t="shared" si="27"/><v>218.81908132968232</v></c><c r="G112" s="200"><f>'CO2 factors'!C$7*G38</f><v>67.221906682206281</v></c><c r="H112" s="200"><f>'CO2 factors'!D$7*H38</f><v>0</v></c><c r="I112" s="200"><f>'CO2 factors'!E$7*I38</f><v>0</v></c><c r="J112" s="200"><f>'CO2 factors'!F$7*J38</f><v>18.698753021876708</v></c><c r="K112" s="200"><f>'CO2 factors'!G$7*K38</f><v>0</v></c><c r="L112" s="200"><f>'CO2 factors'!H$7*L38</f><v>0</v></c><c r="M112" s="68"><f t="shared" si="29"/><v>85.920659704082993</v></c><c r="N112" s="200"><f>'CO2 factors'!J$7*N38</f><v>0</v></c><c r="O112" s="200"><f>'CO2 factors'!K$7*O38</f><v>0</v></c><c r="P112" s="200"><f>'CO2 factors'!L$7*P38</f><v>0</v></c><c r="Q112" s="200"><f>'CO2 factors'!M$7*Q38</f><v>0</v></c><c r="R112" s="200"><f>'CO2 factors'!N$7*R38</f><v>0</v></c><c r="S112" s="200"><f>'CO2 factors'!O$7*S38</f><v>0</v></c><c r="T112" s="68"><f t="shared" si="31"/><v>0</v></c><c r="U112" s="68"><f t="shared" si="32"/><v>304.73974103376531</v></c></row><row r="113" spans="1:31" s="21" customFormat="1" ht="15.75"><c r="A113" s="22"/><c r="B113" s="198" t="str"><f>Translation!A81</f><v>Education</v></c><c r="C113" s="200"><f t="shared" si="42"/><v>11630.403000960347</v></c><c r="D113" s="200"><f t="shared" si="43"/><v>0</v></c><c r="E113" s="200"><f t="shared" si="44"/><v>0</v></c><c r="F113" s="68"><f t="shared" si="27"/><v>11630.403000960347</v></c><c r="G113" s="200"><f>'CO2 factors'!C$7*G39</f><v>3572.8962047376826</v></c><c r="H113" s="200"><f>'CO2 factors'!D$7*H39</f><v>0</v></c><c r="I113" s="200"><f>'CO2 factors'!E$7*I39</f><v>0</v></c><c r="J113" s="200"><f>'CO2 factors'!F$7*J39</f><v>993.85315000109813</v></c><c r="K113" s="200"><f>'CO2 factors'!G$7*K39</f><v>0</v></c><c r="L113" s="200"><f>'CO2 factors'!H$7*L39</f><v>0</v></c><c r="M113" s="68"><f t="shared" si="29"/><v>4566.7493547387803</v></c><c r="N113" s="200"><f>'CO2 factors'!J$7*N39</f><v>0</v></c><c r="O113" s="200"><f>'CO2 factors'!K$7*O39</f><v>0</v></c><c r="P113" s="200"><f>'CO2 factors'!L$7*P39</f><v>0</v></c><c r="Q113" s="200"><f>'CO2 factors'!M$7*Q39</f><v>0</v></c><c r="R113" s="200"><f>'CO2 factors'!N$7*R39</f><v>0</v></c><c r="S113" s="200"><f>'CO2 factors'!O$7*S39</f><v>0</v></c><c r="T113" s="68"><f t="shared" si="31"/><v>0</v></c><c r="U113" s="68"><f t="shared" si="32"/><v>16197.152355699127</v></c></row><row r="114" spans="1:31" s="21" customFormat="1" ht="15.75"><c r="A114" s="22"/><c r="B114" s="198" t="str"><f>Translation!A82</f><v>Human health and social work activities</v></c><c r="C114" s="200"><f t="shared" si="42"/><v>8170.8324090191336</v></c><c r="D114" s="200"><f t="shared" si="43"/><v>0</v></c><c r="E114" s="200"><f t="shared" si="44"/><v>0</v></c><c r="F114" s="68"><f t="shared" si="27"/><v>8170.8324090191336</v></c><c r="G114" s="200"><f>'CO2 factors'!C$7*G40</f><v>2510.1052905321972</v></c><c r="H114" s="200"><f>'CO2 factors'!D$7*H40</f><v>0</v></c><c r="I114" s="200"><f>'CO2 factors'!E$7*I40</f><v>0</v></c><c r="J114" s="200"><f>'CO2 factors'!F$7*J40</f><v>698.22236831898147</v></c><c r="K114" s="200"><f>'CO2 factors'!G$7*K40</f><v>0</v></c><c r="L114" s="200"><f>'CO2 factors'!H$7*L40</f><v>0</v></c><c r="M114" s="68"><f t="shared" si="29"/><v>3208.3276588511785</v></c><c r="N114" s="200"><f>'CO2 factors'!J$7*N40</f><v>0</v></c><c r="O114" s="200"><f>'CO2 factors'!K$7*O40</f><v>0</v></c><c r="P114" s="200"><f>'CO2 factors'!L$7*P40</f><v>0</v></c><c r="Q114" s="200"><f>'CO2 factors'!M$7*Q40</f><v>0</v></c><c r="R114" s="200"><f>'CO2 factors'!N$7*R40</f><v>0</v></c><c r="S114" s="200"><f>'CO2 factors'!O$7*S40</f><v>0</v></c><c r="T114" s="68"><f t="shared" si="31"/><v>0</v></c><c r="U114" s="68"><f t="shared" si="32"/><v>11379.160067870313</v></c></row><row r="115" spans="1:31" s="21" customFormat="1" ht="15.75"><c r="A115" s="22"/><c r="B115" s="198" t="str"><f>Translation!A83</f><v>Other services</v></c><c r="C115" s="200"><f t="shared" si="42"/><v>31078.263713731278</v></c><c r="D115" s="200"><f t="shared" si="43"/><v>0</v></c><c r="E115" s="200"><f t="shared" si="44"/><v>0</v></c><c r="F115" s="68"><f t="shared" si="27"/><v>31078.263713731278</v></c><c r="G115" s="200"><f>'CO2 factors'!C$7*G41</f><v>9547.3398869719804</v></c><c r="H115" s="200"><f>'CO2 factors'!D$7*H41</f><v>0</v></c><c r="I115" s="200"><f>'CO2 factors'!E$7*I41</f><v>0</v></c><c r="J115" s="200"><f>'CO2 factors'!F$7*J41</f><v>2655.7317305261245</v></c><c r="K115" s="200"><f>'CO2 factors'!G$7*K41</f><v>0</v></c><c r="L115" s="200"><f>'CO2 factors'!H$7*L41</f><v>0</v></c><c r="M115" s="68"><f t="shared" si="29"/><v>12203.071617498104</v></c><c r="N115" s="200"><f>'CO2 factors'!J$7*N41</f><v>0</v></c><c r="O115" s="200"><f>'CO2 factors'!K$7*O41</f><v>0</v></c><c r="P115" s="200"><f>'CO2 factors'!L$7*P41</f><v>0</v></c><c r="Q115" s="200"><f>'CO2 factors'!M$7*Q41</f><v>0</v></c><c r="R115" s="200"><f>'CO2 factors'!N$7*R41</f><v>0</v></c><c r="S115" s="200"><f>'CO2 factors'!O$7*S41</f><v>0</v></c><c r="T115" s="68"><f t="shared" si="31"/><v>0</v></c><c r="U115" s="68"><f t="shared" si="32"/><v>43281.335331229384</v></c></row><row r="116" spans="1:31" s="21" customFormat="1" ht="15.75"><c r="A116" s="22"/><c r="B116" s="198" t="str"><f>Translation!A84</f><v>Public lighting</v></c><c r="C116" s="200"><f t="shared" si="42"/><v>4098.6190735432556</v></c><c r="D116" s="200"><f t="shared" si="43"/><v>0</v></c><c r="E116" s="200"><f t="shared" si="44"/><v>0</v></c><c r="F116" s="68"><f t="shared" si="27"/><v>4098.6190735432556</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4098.6190735432556</v></c></row><row r="117" spans="1:31" s="21" customFormat="1" ht="15.75"><c r="A117" s="22"/><c r="B117" s="65" t="str"><f>Translation!A85</f><v>TRANSPORTS</v></c><c r="C117" s="68"><f>SUM(C118:C121)</f><v>18.698208735062629</v></c><c r="D117" s="68"><f>SUM(D118:D121)</f><v>0</v></c><c r="E117" s="68"><f>SUM(E118:E121)</f><v>0</v></c><c r="F117" s="68"><f t="shared" si="27"/><v>18.698208735062629</v></c><c r="G117" s="68"><f t="shared" ref="G117:L117" si="45">SUM(G118:G121)</f><v>0</v></c><c r="H117" s="68"><f t="shared" si="45"/><v>58410.743696321078</v></c><c r="I117" s="68"><f t="shared" si="45"/><v>72124.430168872204</v></c><c r="J117" s="68"><f t="shared" si="45"/><v>0</v></c><c r="K117" s="68"><f t="shared" si="45"/><v>0</v></c><c r="L117" s="68"><f t="shared" si="45"/><v>0</v></c><c r="M117" s="68"><f t="shared" si="29"/><v>130535.17386519328</v></c><c r="N117" s="68"><f t="shared" ref="N117:S117" si="46">SUM(N118:N121)</f><v>0</v></c><c r="O117" s="68"><f t="shared" si="46"/><v>0</v></c><c r="P117" s="68"><f t="shared" si="46"/><v>0</v></c><c r="Q117" s="68"><f t="shared" si="46"/><v>0</v></c><c r="R117" s="68"><f t="shared" si="46"/><v>0</v></c><c r="S117" s="68"><f t="shared" si="46"/><v>0</v></c><c r="T117" s="68"><f t="shared" si="31"/><v>0</v></c><c r="U117" s="68"><f t="shared" si="32"/><v>130553.87207392835</v></c></row><row r="118" spans="1:31" s="21" customFormat="1" ht="30"><c r="A118" s="22"/><c r="B118" s="198" t="str"><f>Translation!A86</f><v>Passenger road transport and other passenger road transport services (public transports, taxi, tourism, school buses, etc.)</v></c><c r="C118" s="200"><f>IF(C$48&gt;0, ($S$128+$V$137)/C$48,0)*C44</f><v>18.698208735062629</v></c><c r="D118" s="200"><f>IF(D$48&gt;0, ($S$129)/D$48,0)*D44</f><v>0</v></c><c r="E118" s="200"><f>IF(E$48&gt;0, ($S$130)/E$48,0)*E44</f><v>0</v></c><c r="F118" s="68"><f t="shared" si="27"/><v>18.698208735062629</v></c><c r="G118" s="200"><f>'CO2 factors'!C$7*G44</f><v>0</v></c><c r="H118" s="200"><f>'CO2 factors'!D$7*H44</f><v>1088.3332763733561</v></c><c r="I118" s="200"><f>'CO2 factors'!E$7*I44</f><v>1343.8523878475112</v></c><c r="J118" s="200"><f>'CO2 factors'!F$7*J44</f><v>0</v></c><c r="K118" s="200"><f>'CO2 factors'!G$7*K44</f><v>0</v></c><c r="L118" s="200"><f>'CO2 factors'!H$7*L44</f><v>0</v></c><c r="M118" s="68"><f t="shared" si="29"/><v>2432.1856642208672</v></c><c r="N118" s="200"><f>'CO2 factors'!J$7*N44</f><v>0</v></c><c r="O118" s="200"><f>'CO2 factors'!K$7*O44</f><v>0</v></c><c r="P118" s="200"><f>'CO2 factors'!L$7*P44</f><v>0</v></c><c r="Q118" s="200"><f>'CO2 factors'!M$7*Q44</f><v>0</v></c><c r="R118" s="200"><f>'CO2 factors'!N$7*R44</f><v>0</v></c><c r="S118" s="200"><f>'CO2 factors'!O$7*S44</f><v>0</v></c><c r="T118" s="68"><f t="shared" si="31"/><v>0</v></c><c r="U118" s="68"><f t="shared" si="32"/><v>2450.8838729559297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17413.332421973697</v></c><c r="I119" s="200"><f>'CO2 factors'!E$7*I45</f><v>21501.638205560179</v></c><c r="J119" s="200"><f>'CO2 factors'!F$7*J45</f><v>0</v></c><c r="K119" s="200"><f>'CO2 factors'!G$7*K45</f><v>0</v></c><c r="L119" s="200"><f>'CO2 factors'!H$7*L45</f><v>0</v></c><c r="M119" s="68"><f t="shared" si="29"/><v>38914.970627533876</v></c><c r="N119" s="200"><f>'CO2 factors'!J$7*N45</f><v>0</v></c><c r="O119" s="200"><f>'CO2 factors'!K$7*O45</f><v>0</v></c><c r="P119" s="200"><f>'CO2 factors'!L$7*P45</f><v>0</v></c><c r="Q119" s="200"><f>'CO2 factors'!M$7*Q45</f><v>0</v></c><c r="R119" s="200"><f>'CO2 factors'!N$7*R45</f><v>0</v></c><c r="S119" s="200"><f>'CO2 factors'!O$7*S45</f><v>0</v></c><c r="T119" s="68"><f t="shared" si="31"/><v>0</v></c><c r="U119" s="68"><f t="shared" si="32"/><v>38914.970627533876</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39909.077997974025</v></c><c r="I121" s="200"><f>'CO2 factors'!E$7*I47</f><v>49278.939575464523</v></c><c r="J121" s="200"><f>'CO2 factors'!F$7*J47</f><v>0</v></c><c r="K121" s="200"><f>'CO2 factors'!G$7*K47</f><v>0</v></c><c r="L121" s="200"><f>'CO2 factors'!H$7*L47</f><v>0</v></c><c r="M121" s="68"><f t="shared" si="29"/><v>89188.017573438556</v></c><c r="N121" s="200"><f>'CO2 factors'!J$7*N47</f><v>0</v></c><c r="O121" s="200"><f>'CO2 factors'!K$7*O47</f><v>0</v></c><c r="P121" s="200"><f>'CO2 factors'!L$7*P47</f><v>0</v></c><c r="Q121" s="200"><f>'CO2 factors'!M$7*Q47</f><v>0</v></c><c r="R121" s="200"><f>'CO2 factors'!N$7*R47</f><v>0</v></c><c r="S121" s="200"><f>'CO2 factors'!O$7*S47</f><v>0</v></c><c r="T121" s="68"><f t="shared" si="31"/><v>0</v></c><c r="U121" s="68"><f t="shared" si="32"/><v>89188.017573438556</v></c></row><row r="122" spans="1:31" s="21" customFormat="1" ht="15.75"><c r="A122" s="22"/><c r="B122" s="77" t="str"><f>Translation!A117</f><v>TOTAL FOR INTERNAL MARKET</v></c><c r="C122" s="69"><f>C91+C101+C104+C108+C117</f><v>199156.90087268347</v></c><c r="D122" s="69"><f>D91+D101+D104+D108+D117</f><v>0</v></c><c r="E122" s="69"><f>E91+E101+E104+E108+E117</f><v>0</v></c><c r="F122" s="68"><f t="shared" si="27"/><v>199156.90087268347</v></c><c r="G122" s="69"><f t="shared" ref="G122:L122" si="47">G91+G101+G104+G108+G117</f><v>53385.645514724012</v></c><c r="H122" s="69"><f t="shared" si="47"/><v>58410.743696321078</v></c><c r="I122" s="69"><f t="shared" si="47"/><v>72124.430168872204</v></c><c r="J122" s="69"><f t="shared" si="47"/><v>11874.590566958821</v></c><c r="K122" s="69"><f t="shared" si="47"/><v>0</v></c><c r="L122" s="69"><f t="shared" si="47"/><v>0</v></c><c r="M122" s="68"><f t="shared" si="29"/><v>195795.40994687611</v></c><c r="N122" s="69"><f t="shared" ref="N122:S122" si="48">N91+N101+N104+N108+N117</f><v>0</v></c><c r="O122" s="69"><f t="shared" si="48"/><v>0</v></c><c r="P122" s="69"><f t="shared" si="48"/><v>0</v></c><c r="Q122" s="69"><f t="shared" si="48"/><v>0</v></c><c r="R122" s="69"><f t="shared" si="48"/><v>0</v></c><c r="S122" s="69"><f t="shared" si="48"/><v>0</v></c><c r="T122" s="68"><f t="shared" si="31"/><v>0</v></c><c r="U122" s="68"><f t="shared" si="32"/><v>394952.31081955961</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3" t="str"><f>Translation!A120</f><v>PRODUCTION SECTOR</v></c><c r="C125" s="268" t="str"><f>Translation!A142</f><v>PRIMARY ENERGY SOURCE</v></c><c r="D125" s="269"/><c r="E125" s="269"/><c r="F125" s="269"/><c r="G125" s="269"/><c r="H125" s="269"/><c r="I125" s="269"/><c r="J125" s="269"/><c r="K125" s="269"/><c r="L125" s="269"/><c r="M125" s="269"/><c r="N125" s="269"/><c r="O125" s="269"/><c r="P125" s="269"/><c r="Q125" s="269"/><c r="R125" s="269"/><c r="S125" s="270"/><c r="T125" s="64"/><c r="U125" s="303" t="str"><f>Translation!A122</f><v>Energy product</v></c><c r="V125" s="304"/><c r="W125" s="271" t="str"><f>Translation!A149</f><v>CO2 EMISSION FACTORS</v></c><c r="X125" s="61"/><c r="Y125" s="61"/><c r="Z125" s="61"/><c r="AA125" s="61"/><c r="AB125" s="61"/><c r="AC125" s="61"/><c r="AD125" s="61"/><c r="AE125" s="61"/></row><row r="126" spans="1:31" s="55" customFormat="1" ht="15" customHeight="1"><c r="B126" s="274"/><c r="C126" s="268" t="str"><f>Translation!A98</f><v>Fossil fuels</v></c><c r="D126" s="269"/><c r="E126" s="269"/><c r="F126" s="269"/><c r="G126" s="269"/><c r="H126" s="269"/><c r="I126" s="270"/><c r="J126" s="268" t="str"><f>Translation!A107</f><v>Renewable energy sources</v></c><c r="K126" s="269"/><c r="L126" s="269"/><c r="M126" s="269"/><c r="N126" s="269"/><c r="O126" s="269"/><c r="P126" s="269"/><c r="Q126" s="269"/><c r="R126" s="270"/><c r="S126" s="310" t="str"><f>Translation!A118</f><v>TOTAL</v></c><c r="T126" s="64"/><c r="U126" s="305"/><c r="V126" s="306"/><c r="W126" s="30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0"/><c r="T127" s="64"/><c r="U127" s="307"/><c r="V127" s="308"/><c r="W127" s="272"/><c r="X127" s="61"/><c r="Y127" s="61"/><c r="Z127" s="61"/><c r="AA127" s="61"/><c r="AB127" s="61"/><c r="AC127" s="61"/><c r="AD127" s="61"/><c r="AE127" s="61"/></row><row r="128" spans="1:31" s="55" customFormat="1" ht="15.75"><c r="B128" s="199" t="str"><f>Translation!A123</f><v>Electricity</v></c><c r="C128" s="204"><f>'CO2 factors'!C$7*C67</f><v>73889.658016043788</v></c><c r="D128" s="204"><f>'CO2 factors'!D$7*D67</f><v>4354.4892245005885</v></c><c r="E128" s="204"><f>'CO2 factors'!E$7*E67</f><v>0</v></c><c r="F128" s="204"><f>'CO2 factors'!F$7*F67</f><v>0</v></c><c r="G128" s="204"><f>'CO2 factors'!G$7*G67</f><v>120912.7536321392</v></c><c r="H128" s="204"><f>'CO2 factors'!H$7*H67</f><v>0</v></c><c r="I128" s="63"><f>SUM(C128:H128)</f><v>199156.90087268356</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199156.90087268356</v></c><c r="T128" s="62"/><c r="U128" s="312" t="str"><f>Translation!A123</f><v>Electricity</v></c><c r="V128" s="313"/><c r="W128" s="205"><f>IF(S58&gt;0,S128/S58,0)</f><v>0.55149343665256179</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1" t="str"><f>Translation!A124</f><v>Heat</v></c><c r="V129" s="31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1" t="str"><f>Translation!A125</f><v>Cold</v></c><c r="V130" s="311"/><c r="W130" s="205"><f>IF(S60&gt;0,S130/S60,0)</f><v>0</v></c><c r="X130" s="61"/><c r="Y130" s="61"/><c r="Z130" s="61"/><c r="AA130" s="61"/><c r="AB130" s="61"/><c r="AC130" s="61"/><c r="AD130" s="61"/><c r="AE130" s="61"/></row><row r="131" spans="1:31" s="55" customFormat="1" ht="15.75"><c r="B131" s="74" t="str"><f>Translation!A118</f><v>TOTAL</v></c><c r="C131" s="57"><f t="shared" ref="C131:S131" si="49">SUM(C128:C130)</f><v>73889.658016043788</v></c><c r="D131" s="57"><f t="shared" si="49"/><v>4354.4892245005885</v></c><c r="E131" s="57"><f t="shared" si="49"/><v>0</v></c><c r="F131" s="57"><f t="shared" si="49"/><v>0</v></c><c r="G131" s="57"><f t="shared" si="49"/><v>120912.7536321392</v></c><c r="H131" s="57"><f t="shared" si="49"/><v>0</v></c><c r="I131" s="57"><f t="shared" si="49"/><v>199156.90087268356</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199156.90087268356</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78" t="str"><f>Translation!A122</f><v>Energy product</v></c><c r="C134" s="286" t="str"><f>Translation!A142</f><v>PRIMARY ENERGY SOURCE</v></c><c r="D134" s="287"/><c r="E134" s="287"/><c r="F134" s="287"/><c r="G134" s="287"/><c r="H134" s="287"/><c r="I134" s="287"/><c r="J134" s="287"/><c r="K134" s="287"/><c r="L134" s="287"/><c r="M134" s="287"/><c r="N134" s="287"/><c r="O134" s="287"/><c r="P134" s="287"/><c r="Q134" s="287"/><c r="R134" s="287"/><c r="S134" s="287"/><c r="T134" s="287"/><c r="U134" s="287"/><c r="V134" s="287"/><c r="W134" s="287"/><c r="X134" s="287"/><c r="Y134" s="288"/><c r="AA134" s="271" t="str"><f>Translation!A150</f><v>CO2 emissions from ETS installations included in the calculations for final use of energy</v></c><c r="AB134" s="271" t="str"><f>Translation!A151</f><v>CO2 emissions from ETS installations included in the calculations for secondary energy production</v></c></row><row r="135" spans="1:31" s="55" customFormat="1" ht="15" customHeight="1"><c r="B135" s="279"/><c r="C135" s="286" t="str"><f>Translation!A98</f><v>Fossil fuels</v></c><c r="D135" s="287"/><c r="E135" s="287"/><c r="F135" s="287"/><c r="G135" s="287"/><c r="H135" s="287"/><c r="I135" s="288"/><c r="J135" s="286" t="str"><f>Translation!A107</f><v>Renewable energy sources</v></c><c r="K135" s="287"/><c r="L135" s="287"/><c r="M135" s="287"/><c r="N135" s="287"/><c r="O135" s="287"/><c r="P135" s="287"/><c r="Q135" s="287"/><c r="R135" s="288"/><c r="S135" s="275" t="str"><f>Translation!A123</f><v>Electricity</v></c><c r="T135" s="276"/><c r="U135" s="276"/><c r="V135" s="277"/><c r="W135" s="115" t="str"><f>Translation!A124</f><v>Heat</v></c><c r="X135" s="115" t="str"><f>Translation!A125</f><v>Cold</v></c><c r="Y135" s="249" t="str"><f>Translation!A118</f><v>TOTAL</v></c><c r="AA135" s="309"/><c r="AB135" s="309"/></row><row r="136" spans="1:31" s="55" customFormat="1" ht="90.75" customHeight="1"><c r="B136" s="280"/><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49"/><c r="AA136" s="272"/><c r="AB136" s="272"/></row><row r="137" spans="1:31" s="55" customFormat="1" ht="15.75"><c r="B137" s="114" t="str"><f>Translation!A118</f><v>TOTAL</v></c><c r="C137" s="201"><f>'CO2 factors'!C$7*C76</f><v>127275.30353076781</v></c><c r="D137" s="201"><f>'CO2 factors'!D$7*D76</f><v>62765.232920821669</v></c><c r="E137" s="201"><f>'CO2 factors'!E$7*E76</f><v>72124.430168872219</v></c><c r="F137" s="201"><f>'CO2 factors'!F$7*F76</f><v>11874.590566958823</v></c><c r="G137" s="201"><f>'CO2 factors'!G$7*G76</f><v>120912.7536321392</v></c><c r="H137" s="201"><f>'CO2 factors'!H$7*H76</f><v>0</v></c><c r="I137" s="57"><f>SUM(C137:H137)</f><v>394952.31081955973</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394952.31081955973</v></c><c r="AA137" s="164"/><c r="AB137" s="164"/></row><row r="138" spans="1:31" s="55" customFormat="1" ht="15"><c r="B138" s="56"/></row><row r="139" spans="1:31" ht="15.75" customHeight="1"><c r="A139" s="154"/><c r="B139" s="155"/></row><row r="140" spans="1:31" ht="18.75" customHeight="1"><c r="A140" s="153"/><c r="B140" s="250" t="str"><f>Translation!A155</f><v xml:space="preserve">Go to the next sheet dedicated to your Island Sustainable Energy Action Plan </v></c><c r="C140" s="251"/><c r="D140" s="251"/><c r="E140" s="251"/><c r="F140" s="251"/><c r="G140" s="251"/><c r="H140" s="251"/><c r="I140" s="251"/><c r="J140" s="251"/><c r="K140" s="251"/><c r="L140" s="251"/><c r="M140" s="251"/><c r="N140" s="251"/><c r="O140" s="251"/><c r="P140" s="251"/><c r="Q140" s="251"/><c r="R140" s="25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2"/><c r="D142" s="252"/><c r="E142" s="252"/><c r="F142" s="252"/><c r="G142" s="252"/><c r="H142" s="252"/><c r="I142" s="252"/><c r="J142" s="252"/><c r="K142" s="252"/><c r="L142" s="252"/><c r="M142" s="252"/><c r="N142" s="252"/><c r="O142" s="252"/><c r="P142" s="252"/><c r="Q142" s="252"/><c r="R142" s="252"/><c r="S142" s="252"/><c r="T142" s="252"/><c r="U142" s="252"/></row><row r="143" spans="1:31" ht="12.75" customHeight="1"><c r="B143" s="252"/><c r="C143" s="252"/><c r="D143" s="252"/><c r="E143" s="252"/><c r="F143" s="252"/><c r="G143" s="252"/><c r="H143" s="252"/><c r="I143" s="252"/><c r="J143" s="252"/><c r="K143" s="252"/><c r="L143" s="252"/><c r="M143" s="252"/><c r="N143" s="252"/><c r="O143" s="252"/><c r="P143" s="252"/><c r="Q143" s="252"/><c r="R143" s="252"/><c r="S143" s="252"/><c r="T143" s="252"/><c r="U143" s="252"/></row><row r="144" spans="1:31" ht="12.75" customHeight="1"><c r="B144" s="252"/><c r="C144" s="252"/><c r="D144" s="252"/><c r="E144" s="252"/><c r="F144" s="252"/><c r="G144" s="252"/><c r="H144" s="252"/><c r="I144" s="252"/><c r="J144" s="252"/><c r="K144" s="252"/><c r="L144" s="252"/><c r="M144" s="252"/><c r="N144" s="252"/><c r="O144" s="252"/><c r="P144" s="252"/><c r="Q144" s="252"/><c r="R144" s="252"/><c r="S144" s="252"/><c r="T144" s="252"/><c r="U144" s="252"/></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2"/><sheetViews><sheetView showGridLines="0" showZeros="0" topLeftCell="A79" zoomScale="70" zoomScaleNormal="70" workbookViewID_"0"><selection activeCell="R120" sqref="R120"/></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17" width="11.42578125" style="21"/><col min="18" max="18" width="13" style="21" bestFit="1" customWidth="1"/><col min="19"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0" t="str"><f>Translation!$A$31</f><v>Island  Sustainable Energy Action Plan (ISEAP)</v></c><c r="B1" s="240"/><c r="C1" s="240"/><c r="D1" s="240"/><c r="E1" s="240"/><c r="F1" s="240"/><c r="G1" s="240"/><c r="H1" s="240"/><c r="I1" s="240"/><c r="J1" s="240"/><c r="K1" s="240"/><c r="L1" s="240"/><c r="M1" s="240"/></row><row r="2" spans="1:13" ht="28.5" customHeight="1"><c r="A2" s="82"/><c r="B2" s="236" t="s"><v>1018</v></c><c r="C2" s="236"/><c r="D2" s="84" t="str"><f>Translation!$A$10</f><v>Island</v></c><c r="E2" s="85" t="str"><f>'Start here'!$B$5</f><v>Cyprus - Strovolos</v></c><c r="F2" s="86"/><c r="G2" s="86"/><c r="H2" s="87"/><c r="I2" s="87"/><c r="J2" s="87"/><c r="K2" s="87"/><c r="L2" s="87"/><c r="M2" s="87"/></row><row r="3" spans="1:13" ht="38.25" customHeight="1"><c r="A3" s="22"/><c r="B3" s="23"/><c r="C3" s="24"/><c r="E3" s="25"/><c r="F3" s="25"/><c r="H3" s="26"/><c r="L3" s="27"/><c r="M3" s="27"/></row><row r="4" spans="1:13" ht="15.75"><c r="A4" s="29"/><c r="B4" s="30"/><c r="L4" s="328" t="str"><f>Translation!$A$53</f><v>Mandatory fields</v></c><c r="M4" s="328"/></row><row r="5" spans="1:13" s="107" customFormat="1" ht="36"><c r="A5" s="118" t="s"><v>0</v></c><c r="B5" s="330" t="str"><f>Translation!A156</f><v>TITLE OF ISLAND SUSTAINABLE ENERGY ACTION PLAN</v></c><c r="C5" s="330"/><c r="D5" s="330"/><c r="E5" s="330"/><c r="F5" s="330"/><c r="G5" s="330"/><c r="H5" s="330"/><c r="I5" s="330"/><c r="J5" s="330"/><c r="K5" s="330"/><c r="L5" s="330"/><c r="M5" s="330"/></row><row r="6" spans="1:13" ht="34.5" customHeight="1"><c r="A6" s="28"/><c r="B6" s="320" t="s"><v>1030</v></c><c r="C6" s="321"/><c r="D6" s="321"/><c r="E6" s="321"/><c r="F6" s="321"/><c r="G6" s="321"/><c r="H6" s="321"/><c r="I6" s="321"/><c r="J6" s="321"/><c r="K6" s="321"/><c r="L6" s="321"/><c r="M6" s="322"/></row><row r="7" spans="1:13" ht="15.75" customHeight="1"><c r="A7" s="29"/><c r="B7" s="30"/></row><row r="8" spans="1:13" ht="21.75" customHeight="1"><c r="A8" s="29"/><c r="E8" s="31"/><c r="F8" s="46" t="str"><f>Translation!A158</f><v>Authority approving the plan</v></c><c r="G8" s="327" t="s"><v>1031</v></c><c r="H8" s="327"/><c r="I8" s="327"/><c r="J8" s="327"/><c r="L8" s="32" t="str"><f>Translation!A157</f><v>Date of formal approval</v></c><c r="M8" s="224"><v>40253</v></c></row><row r="9" spans="1:13" ht="15.75"><c r="A9" s="29"/><c r="B9" s="30"/></row><row r="10" spans="1:13" s="107" customFormat="1" ht="36" customHeight="1"><c r="A10" s="106" t="s"><v>4</v></c><c r="B10" s="329" t="str"><f>Translation!A159</f><v>KEY ELEMENTS OF ISLAND SUSTAINABLE ENERGY ACTION PLAN</v></c><c r="C10" s="329"/><c r="D10" s="329"/><c r="E10" s="329"/><c r="F10" s="329"/><c r="G10" s="329"/><c r="H10" s="329"/><c r="I10" s="329"/><c r="J10" s="329"/><c r="K10" s="329"/><c r="L10" s="329"/><c r="M10" s="329"/></row><row r="11" spans="1:13" s="33" customFormat="1" ht="68.25" customHeight="1"><c r="B11" s="323" t="str"><f>Translation!A160</f><v>SECTORS AND FIELDS OF ACTION</v></c><c r="C11" s="323" t="str"><f>Translation!A161</f><v>ACTIONS
(one line per action - insert lines if necessary; exclude ETS actions)</v></c><c r="D11" s="323" t="str"><f>Translation!A162</f><v>RESPONSIBLE FOR IMPLEMENTATION</v></c><c r="E11" s="325" t="str"><f>Translation!A163</f><v>IMPLEMENTATION SCHEDULE</v></c><c r="F11" s="326"/><c r="G11" s="323" t="str"><f>Translation!A166</f><v>ESTIMATED INVESTMENT COSTS [euro]</v></c><c r="H11" s="323" t="str"><f>Translation!A167</f><v>EXPECTED ENERGY SAVINGS [MWh/year]</v></c><c r="I11" s="323" t="str"><f>Translation!A168</f><v>EXPECTED RENEWABLE ENERGY PRODUCTION [MWh/year]</v></c><c r="J11" s="323" t="str"><f>Translation!A169</f><v>EXPECTED CO2 REDUCTION [ton/year]</v></c><c r="K11" s="323" t="str"><f>Translation!A170</f><v>ENERGY SAVINGS TARGET IN 2020 [MWh/year]</v></c><c r="L11" s="323" t="str"><f>Translation!A171</f><v>RENEWABLE ENERGY PRODUCTION TARGET IN 2020 [MWh/year]</v></c><c r="M11" s="323" t="str"><f>Translation!A172</f><v>CO2 REDUCTION TARGET IN 2020 [ton/year]</v></c></row><row r="12" spans="1:13" s="33" customFormat="1" ht="31.5" customHeight="1"><c r="B12" s="324"/><c r="C12" s="324"/><c r="D12" s="324"/><c r="E12" s="34" t="str"><f>Translation!A164</f><v>Starting year</v></c><c r="F12" s="34" t="str"><f>Translation!A165</f><v>Ending year</v></c><c r="G12" s="324"/><c r="H12" s="324"/><c r="I12" s="324"/><c r="J12" s="324"/><c r="K12" s="324"/><c r="L12" s="324"/><c r="M12" s="324"/></row><row r="13" spans="1:13" s="33" customFormat="1" ht="15"><c r="B13" s="214" t="str"><f>Translation!A59</f><v>RESIDENTIAL</v></c><c r="C13" s="215"/><c r="D13" s="215"/><c r="E13" s="216"/><c r="F13" s="216"/><c r="G13" s="217"/><c r="H13" s="217"/><c r="I13" s="217"/><c r="J13" s="217"/><c r="K13" s="217"/><c r="L13" s="217"/><c r="M13" s="217"/></row><row r="14" spans="1:13" s="33" customFormat="1" ht="30"><c r="B14" s="35" t="s"><v>1040</v></c><c r="C14" s="16" t="s"><v>1032</v></c><c r="D14" s="16" t="s"><v>1039</v></c><c r="E14" s="17"><v>2009</v></c><c r="F14" s="18"><v>2020</v></c><c r="G14" s="19"/><c r="H14" s="19"><v>6645</v></c><c r="I14" s="19"><v>0</v></c><c r="J14" s="19"><v>4712</v></c><c r="K14" s="314"><f>SUM(H14:H23)</f><v>17070</v></c><c r="L14" s="314"><f t="shared" ref="L14:M14" si="0">SUM(I14:I23)</f><v>2322</v></c><c r="M14" s="317"><f t="shared" si="0"/><v>13752</v></c></row><row r="15" spans="1:13" s="33" customFormat="1" ht="30"><c r="B15" s="35" t="s"><v>1040</v></c><c r="C15" s="16" t="s"><v>1033</v></c><c r="D15" s="16" t="s"><v>1039</v></c><c r="E15" s="17"><v>2010</v></c><c r="F15" s="18"><v>2020</v></c><c r="G15" s="19"/><c r="H15" s="19"><v>3190</v></c><c r="I15" s="19"><v>0</v></c><c r="J15" s="19"><v>2262</v></c><c r="K15" s="315"/><c r="L15" s="315"/><c r="M15" s="318"/></row><row r="16" spans="1:13" s="33" customFormat="1" ht="30"><c r="B16" s="35" t="s"><v>1041</v></c><c r="C16" s="16" t="s"><v>1034</v></c><c r="D16" s="16" t="s"><v>1039</v></c><c r="E16" s="17"><v>2009</v></c><c r="F16" s="18"><v>2013</v></c><c r="G16" s="19"/><c r="H16" s="19"><v>1116</v></c><c r="I16" s="19"><v>0</v></c><c r="J16" s="19"><v>792</v></c><c r="K16" s="315"/><c r="L16" s="315"/><c r="M16" s="318"/></row><row r="17" spans="2:13" s="33" customFormat="1" ht="30"><c r="B17" s="35" t="s"><v>1041</v></c><c r="C17" s="16" t="s"><v>1035</v></c><c r="D17" s="16" t="s"><v>1039</v></c><c r="E17" s="17"><v>2009</v></c><c r="F17" s="18"><v>2013</v></c><c r="G17" s="19"/><c r="H17" s="19"><v>797</v></c><c r="I17" s="19"><v>0</v></c><c r="J17" s="19"><v>565</v></c><c r="K17" s="315"/><c r="L17" s="315"/><c r="M17" s="318"/></row><row r="18" spans="2:13" s="33" customFormat="1" ht="30"><c r="B18" s="35" t="s"><v>1042</v></c><c r="C18" s="16" t="s"><v>1036</v></c><c r="D18" s="16" t="s"><v>1039</v></c><c r="E18" s="17"><v>2008</v></c><c r="F18" s="18"><v>2020</v></c><c r="G18" s="19"/><c r="H18" s="19"><v>4731</v></c><c r="I18" s="19"><v>0</v></c><c r="J18" s="19"><v>3355</v></c><c r="K18" s="315"/><c r="L18" s="315"/><c r="M18" s="318"/></row><row r="19" spans="2:13" s="33" customFormat="1" ht="30"><c r="B19" s="35" t="s"><v>1043</v></c><c r="C19" s="16" t="s"><v>1037</v></c><c r="D19" s="16" t="s"><v>1039</v></c><c r="E19" s="17"><v>2009</v></c><c r="F19" s="18"><v>2013</v></c><c r="G19" s="19"/><c r="H19" s="19"><v>0</v></c><c r="I19" s="19"><v>2322</v></c><c r="J19" s="19"><v>1647</v></c><c r="K19" s="315"/><c r="L19" s="315"/><c r="M19" s="318"/></row><row r="20" spans="2:13" s="33" customFormat="1" ht="30"><c r="B20" s="35" t="s"><v>1044</v></c><c r="C20" s="16" t="s"><v>1038</v></c><c r="D20" s="16" t="s"><v>1039</v></c><c r="E20" s="17"><v>2011</v></c><c r="F20" s="18"><v>2020</v></c><c r="G20" s="19"/><c r="H20" s="19"><v>591</v></c><c r="I20" s="19"><v>0</v></c><c r="J20" s="19"><v>419</v></c><c r="K20" s="315"/><c r="L20" s="315"/><c r="M20" s="318"/></row><row r="21" spans="2:13" s="33" customFormat="1" ht="15"><c r="B21" s="35"/><c r="C21" s="16"/><c r="D21" s="16"/><c r="E21" s="17"/><c r="F21" s="18"/><c r="G21" s="19"/><c r="H21" s="19"/><c r="I21" s="19"/><c r="J21" s="19"/><c r="K21" s="315"/><c r="L21" s="315"/><c r="M21" s="318"/></row><row r="22" spans="2:13" s="33" customFormat="1" ht="15"><c r="B22" s="35"/><c r="C22" s="16"/><c r="D22" s="16"/><c r="E22" s="17"/><c r="F22" s="18"/><c r="G22" s="19"/><c r="H22" s="19"/><c r="I22" s="19"/><c r="J22" s="19"/><c r="K22" s="315"/><c r="L22" s="315"/><c r="M22" s="318"/></row><row r="23" spans="2:13" s="33" customFormat="1" ht="7.5" customHeight="1"><c r="B23" s="35"/><c r="C23" s="16"/><c r="D23" s="16"/><c r="E23" s="17"/><c r="F23" s="18"/><c r="G23" s="19"/><c r="H23" s="19"/><c r="I23" s="19"/><c r="J23" s="19"/><c r="K23" s="316"/><c r="L23" s="316"/><c r="M23" s="319"/></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14"><f>SUM(H25:H27)</f><v>0</v></c><c r="L25" s="314"><f t="shared" ref="L25:M25" si="1">SUM(I25:I27)</f><v>0</v></c><c r="M25" s="317"><f t="shared" si="1"/><v>0</v></c></row><row r="26" spans="2:13" s="33" customFormat="1" ht="15"><c r="B26" s="35" t="str"><f>Translation!A71</f><v>Mining and quarrying</v></c><c r="C26" s="16"/><c r="D26" s="16"/><c r="E26" s="17"/><c r="F26" s="18"/><c r="G26" s="19"/><c r="H26" s="19"/><c r="I26" s="19"/><c r="J26" s="19"/><c r="K26" s="315"/><c r="L26" s="315"/><c r="M26" s="318"/></row><row r="27" spans="2:13" s="33" customFormat="1" ht="7.5" customHeight="1"><c r="B27" s="35"/><c r="C27" s="16"/><c r="D27" s="16"/><c r="E27" s="17"/><c r="F27" s="18"/><c r="G27" s="19"/><c r="H27" s="19"/><c r="I27" s="19"/><c r="J27" s="19"/><c r="K27" s="316"/><c r="L27" s="316"/><c r="M27" s="319"/></row><row r="28" spans="2:13" s="33" customFormat="1" ht="15"><c r="B28" s="214" t="str"><f>Translation!A72</f><v>SECONDARY SECTOR</v></c><c r="C28" s="215"/><c r="D28" s="215"/><c r="E28" s="216"/><c r="F28" s="216"/><c r="G28" s="217"/><c r="H28" s="217"/><c r="I28" s="217"/><c r="J28" s="217"/><c r="K28" s="217"/><c r="L28" s="217"/><c r="M28" s="217"/></row><row r="29" spans="2:13" s="33" customFormat="1" ht="30"><c r="B29" s="35" t="s"><v>1040</v></c><c r="C29" s="16" t="s"><v>1032</v></c><c r="D29" s="16" t="s"><v>1039</v></c><c r="E29" s="17"><v>2009</v></c><c r="F29" s="18"><v>2020</v></c><c r="G29" s="19"/><c r="H29" s="19"><v>793</v></c><c r="I29" s="19"><v>0</v></c><c r="J29" s="19"><v>579</v></c><c r="K29" s="314"><f>SUM(H29:H39)</f><v>4449</v></c><c r="L29" s="314"><f t="shared" ref="L29:M29" si="2">SUM(I29:I39)</f><v>3870</v></c><c r="M29" s="317"><f t="shared" si="2"/><v>6067</v></c></row><row r="30" spans="2:13" s="33" customFormat="1" ht="30"><c r="B30" s="35" t="s"><v>1040</v></c><c r="C30" s="16" t="s"><v>1033</v></c><c r="D30" s="16" t="s"><v>1039</v></c><c r="E30" s="17"><v>2010</v></c><c r="F30" s="18"><v>2020</v></c><c r="G30" s="19"/><c r="H30" s="19"><v>381</v></c><c r="I30" s="19"><v>0</v></c><c r="J30" s="19"><v>278</v></c><c r="K30" s="315"/><c r="L30" s="315"/><c r="M30" s="318"/></row><row r="31" spans="2:13" s="33" customFormat="1" ht="15"><c r="B31" s="35" t="s"><v>1041</v></c><c r="C31" s="16" t="s"><v>1045</v></c><c r="D31" s="16" t="s"><v>1039</v></c><c r="E31" s="17"><v>2009</v></c><c r="F31" s="18"><v>2013</v></c><c r="G31" s="19"/><c r="H31" s="19"><v>133</v></c><c r="I31" s="19"><v>0</v></c><c r="J31" s="19"><v>97</v></c><c r="K31" s="315"/><c r="L31" s="315"/><c r="M31" s="318"/></row><row r="32" spans="2:13" s="33" customFormat="1" ht="30"><c r="B32" s="35" t="s"><v>1050</v></c><c r="C32" s="16" t="s"><v>1035</v></c><c r="D32" s="16" t="s"><v>1039</v></c><c r="E32" s="17"><v>2009</v></c><c r="F32" s="18"><v>2013</v></c><c r="G32" s="19"/><c r="H32" s="19"><v>95</v></c><c r="I32" s="19"><v>0</v></c><c r="J32" s="19"><v>69</v></c><c r="K32" s="315"/><c r="L32" s="315"/><c r="M32" s="318"/></row><row r="33" spans="2:13" s="33" customFormat="1" ht="30"><c r="B33" s="35" t="s"><v>1042</v></c><c r="C33" s="16" t="s"><v>1036</v></c><c r="D33" s="16" t="s"><v>1039</v></c><c r="E33" s="17"><v>2008</v></c><c r="F33" s="18"><v>2020</v></c><c r="G33" s="19"/><c r="H33" s="19"><v>825</v></c><c r="I33" s="19"><v>0</v></c><c r="J33" s="19"><v>602</v></c><c r="K33" s="315"/><c r="L33" s="315"/><c r="M33" s="318"/></row><row r="34" spans="2:13" s="33" customFormat="1" ht="30"><c r="B34" s="35" t="s"><v>1043</v></c><c r="C34" s="16" t="s"><v>1037</v></c><c r="D34" s="16" t="s"><v>1039</v></c><c r="E34" s="17"><v>2009</v></c><c r="F34" s="18"><v>2013</v></c><c r="G34" s="19"/><c r="H34" s="19"><v>0</v></c><c r="I34" s="19"><v>3870</v></c><c r="J34" s="19"><v>2822</v></c><c r="K34" s="315"/><c r="L34" s="315"/><c r="M34" s="318"/></row><row r="35" spans="2:13" s="33" customFormat="1" ht="30"><c r="B35" s="35" t="s"><v>1051</v></c><c r="C35" s="16" t="s"><v>1038</v></c><c r="D35" s="16" t="s"><v>1039</v></c><c r="E35" s="17"><v>2011</v></c><c r="F35" s="18"><v>2020</v></c><c r="G35" s="19"/><c r="H35" s="19"><v>96</v></c><c r="I35" s="19"><v>0</v></c><c r="J35" s="19"><v>70</v></c><c r="K35" s="315"/><c r="L35" s="315"/><c r="M35" s="318"/></row><row r="36" spans="2:13" s="33" customFormat="1" ht="30"><c r="B36" s="35" t="s"><v>1040</v></c><c r="C36" s="16" t="s"><v>1046</v></c><c r="D36" s="16" t="s"><v>1039</v></c><c r="E36" s="17"><v>2010</v></c><c r="F36" s="18"><v>2020</v></c><c r="G36" s="19"/><c r="H36" s="19"><v>317</v></c><c r="I36" s="19"><v>0</v></c><c r="J36" s="19"><v>231</v></c><c r="K36" s="315"/><c r="L36" s="315"/><c r="M36" s="318"/></row><row r="37" spans="2:13" s="33" customFormat="1" ht="15"><c r="B37" s="35" t="s"><v>1048</v></c><c r="C37" s="16" t="s"><v>1047</v></c><c r="D37" s="16" t="s"><v>1039</v></c><c r="E37" s="17"><v>2009</v></c><c r="F37" s="18"><v>2013</v></c><c r="G37" s="19"/><c r="H37" s="19"><v>1809</v></c><c r="I37" s="19"><v>0</v></c><c r="J37" s="19"><v>1319</v></c><c r="K37" s="315"/><c r="L37" s="315"/><c r="M37" s="318"/></row><row r="38" spans="2:13" s="33" customFormat="1" ht="15"><c r="B38" s="35"/><c r="C38" s="16"/><c r="D38" s="16"/><c r="E38" s="17"/><c r="F38" s="18"/><c r="G38" s="19"/><c r="H38" s="19"/><c r="I38" s="19"/><c r="J38" s="19"/><c r="K38" s="315"/><c r="L38" s="315"/><c r="M38" s="318"/></row><row r="39" spans="2:13" s="33" customFormat="1" ht="7.5" customHeight="1"><c r="B39" s="35"/><c r="C39" s="16"/><c r="D39" s="16"/><c r="E39" s="17"/><c r="F39" s="18"/><c r="G39" s="19"/><c r="H39" s="19"/><c r="I39" s="19"/><c r="J39" s="19"/><c r="K39" s="316"/><c r="L39" s="316"/><c r="M39" s="319"/></row><row r="40" spans="2:13" s="33" customFormat="1" ht="15"><c r="B40" s="214" t="str"><f>Translation!A76</f><v>TERTIARY SECTOR</v></c><c r="C40" s="215"/><c r="D40" s="215"/><c r="E40" s="216"/><c r="F40" s="216"/><c r="G40" s="217"/><c r="H40" s="217"/><c r="I40" s="217"/><c r="J40" s="217"/><c r="K40" s="217"/><c r="L40" s="217"/><c r="M40" s="217"/></row><row r="41" spans="2:13" s="33" customFormat="1" ht="30"><c r="B41" s="35" t="s"><v>1040</v></c><c r="C41" s="16" t="s"><v>1032</v></c><c r="D41" s="16" t="s"><v>1039</v></c><c r="E41" s="17"><v>2009</v></c><c r="F41" s="18"><v>2020</v></c><c r="G41" s="19"/><c r="H41" s="19"><v>6270</v></c><c r="I41" s="19"><v>0</v></c><c r="J41" s="19"><v>4612</v></c><c r="K41" s="314"><f>SUM(H41:H51)</f><v>27327</v></c><c r="L41" s="314"><f t="shared" ref="L41:M41" si="3">SUM(I41:I51)</f><v>1935</v></c><c r="M41" s="317"><f t="shared" si="3"/><v>21711</v></c></row><row r="42" spans="2:13" s="33" customFormat="1" ht="30"><c r="B42" s="35" t="s"><v>1040</v></c><c r="C42" s="16" t="s"><v>1049</v></c><c r="D42" s="16" t="s"><v>1039</v></c><c r="E42" s="17"><v>2010</v></c><c r="F42" s="18"><v>2020</v></c><c r="G42" s="19"/><c r="H42" s="19"><v>3010</v></c><c r="I42" s="19"><v>0</v></c><c r="J42" s="19"><v>2214</v></c><c r="K42" s="315"/><c r="L42" s="315"/><c r="M42" s="318"/></row><row r="43" spans="2:13" s="33" customFormat="1" ht="15"><c r="B43" s="35" t="s"><v>1041</v></c><c r="C43" s="16" t="s"><v>1045</v></c><c r="D43" s="16" t="s"><v>1039</v></c><c r="E43" s="17"><v>2009</v></c><c r="F43" s="18"><v>2013</v></c><c r="G43" s="19"/><c r="H43" s="19"><v>1053</v></c><c r="I43" s="19"><v>0</v></c><c r="J43" s="19"><v>775</v></c><c r="K43" s="315"/><c r="L43" s="315"/><c r="M43" s="318"/></row><row r="44" spans="2:13" s="33" customFormat="1" ht="30"><c r="B44" s="35" t="s"><v>1050</v></c><c r="C44" s="16" t="s"><v>1035</v></c><c r="D44" s="16" t="s"><v>1039</v></c><c r="E44" s="17"><v>2009</v></c><c r="F44" s="18"><v>2013</v></c><c r="G44" s="19"/><c r="H44" s="19"><v>752</v></c><c r="I44" s="19"><v>0</v></c><c r="J44" s="19"><v>553</v></c><c r="K44" s="315"/><c r="L44" s="315"/><c r="M44" s="318"/></row><row r="45" spans="2:13" s="33" customFormat="1" ht="30"><c r="B45" s="35" t="s"><v>1042</v></c><c r="C45" s="16" t="s"><v>1036</v></c><c r="D45" s="16" t="s"><v>1039</v></c><c r="E45" s="17"><v>2008</v></c><c r="F45" s="18"><v>2020</v></c><c r="G45" s="19"/><c r="H45" s="19"><v>5788</v></c><c r="I45" s="19"><v>0</v></c><c r="J45" s="19"><v>4257</v></c><c r="K45" s="315"/><c r="L45" s="315"/><c r="M45" s="318"/></row><row r="46" spans="2:13" s="33" customFormat="1" ht="30"><c r="B46" s="35" t="s"><v>1043</v></c><c r="C46" s="16" t="s"><v>1037</v></c><c r="D46" s="16" t="s"><v>1039</v></c><c r="E46" s="17"><v>2009</v></c><c r="F46" s="18"><v>2013</v></c><c r="G46" s="19"/><c r="H46" s="19"><v>0</v></c><c r="I46" s="19"><v>1935</v></c><c r="J46" s="19"><v>1423</v></c><c r="K46" s="315"/><c r="L46" s="315"/><c r="M46" s="318"/></row><row r="47" spans="2:13" s="33" customFormat="1" ht="30"><c r="B47" s="35" t="s"><v>1051</v></c><c r="C47" s="16" t="s"><v>1038</v></c><c r="D47" s="16" t="s"><v>1039</v></c><c r="E47" s="17"><v>2011</v></c><c r="F47" s="18"><v>2020</v></c><c r="G47" s="19"/><c r="H47" s="19"><v>664</v></c><c r="I47" s="19"><v>0</v></c><c r="J47" s="19"><v>488</v></c><c r="K47" s="315"/><c r="L47" s="315"/><c r="M47" s="318"/></row><row r="48" spans="2:13" s="33" customFormat="1" ht="30"><c r="B48" s="35" t="s"><v>1040</v></c><c r="C48" s="16" t="s"><v>1046</v></c><c r="D48" s="16" t="s"><v>1039</v></c><c r="E48" s="17"><v>2010</v></c><c r="F48" s="18"><v>2020</v></c><c r="G48" s="19"/><c r="H48" s="19"><v>6270</v></c><c r="I48" s="19"><v>0</v></c><c r="J48" s="19"><v>4612</v></c><c r="K48" s="315"/><c r="L48" s="315"/><c r="M48" s="318"/></row><row r="49" spans="2:13" s="33" customFormat="1" ht="45"><c r="B49" s="35" t="s"><v>1052</v></c><c r="C49" s="16" t="s"><v>1053</v></c><c r="D49" s="16" t="s"><v>1055</v></c><c r="E49" s="17"><v>2013</v></c><c r="F49" s="18"><v>2014</v></c><c r="G49" s="19"><v>1600000</v></c><c r="H49" s="19"><v>3200</v></c><c r="I49" s="19"/><c r="J49" s="19"><v>2525</v></c><c r="K49" s="315"/><c r="L49" s="315"/><c r="M49" s="318"/></row><row r="50" spans="2:13" s="33" customFormat="1" ht="45"><c r="B50" s="35" t="s"><v>1052</v></c><c r="C50" s="16" t="s"><v>1054</v></c><c r="D50" s="16" t="s"><v>1055</v></c><c r="E50" s="17"><v>2013</v></c><c r="F50" s="18"><v>2014</v></c><c r="G50" s="19"><v>8000</v></c><c r="H50" s="19"><v>320</v></c><c r="I50" s="19"/><c r="J50" s="19"><v>252</v></c><c r="K50" s="315"/><c r="L50" s="315"/><c r="M50" s="318"/></row><row r="51" spans="2:13" s="33" customFormat="1" ht="7.5" customHeight="1"><c r="B51" s="35"/><c r="C51" s="16"/><c r="D51" s="16"/><c r="E51" s="17"/><c r="F51" s="18"/><c r="G51" s="19"/><c r="H51" s="19"/><c r="I51" s="19"/><c r="J51" s="19"/><c r="K51" s="316"/><c r="L51" s="316"/><c r="M51" s="319"/></row><row r="52" spans="2:13" s="33" customFormat="1" ht="15"><c r="B52" s="214" t="str"><f>Translation!A85</f><v>TRANSPORTS</v></c><c r="C52" s="215"/><c r="D52" s="215"/><c r="E52" s="216"/><c r="F52" s="216"/><c r="G52" s="217"/><c r="H52" s="217"/><c r="I52" s="217"/><c r="J52" s="217"/><c r="K52" s="217"/><c r="L52" s="217"/><c r="M52" s="217"/></row><row r="53" spans="2:13" s="33" customFormat="1" ht="45"><c r="B53" s="35" t="s"><v>1072</v></c><c r="C53" s="16" t="s"><v>1056</v></c><c r="D53" s="16" t="s"><v>1065</v></c><c r="E53" s="17"><v>2010</v></c><c r="F53" s="18"><v>2015</v></c><c r="G53" s="19"/><c r="H53" s="19"><v>76591</v></c><c r="I53" s="19"/><c r="J53" s="19"><v>19347</v></c><c r="K53" s="314"><f>SUM(H53:H64)</f><v>179864</v></c><c r="L53" s="314"><f t="shared" ref="L53:M53" si="4">SUM(I53:I64)</f><v>0</v></c><c r="M53" s="317"><f t="shared" si="4"/><v>45436</v></c></row><row r="54" spans="2:13" s="33" customFormat="1" ht="45"><c r="B54" s="35" t="s"><v>1071</v></c><c r="C54" s="16" t="s"><v>1057</v></c><c r="D54" s="16" t="s"><v>1065</v></c><c r="E54" s="17"><v>2008</v></c><c r="F54" s="18"><v>2020</v></c><c r="G54" s="19"/><c r="H54" s="19"><v>50770</v></c><c r="I54" s="19"/><c r="J54" s="19"><v>12824</v></c><c r="K54" s="315"/><c r="L54" s="315"/><c r="M54" s="318"/></row><row r="55" spans="2:13" s="33" customFormat="1" ht="45"><c r="B55" s="35" t="s"><v>1071</v></c><c r="C55" s="16" t="s"><v>1058</v></c><c r="D55" s="16" t="s"><v>1065</v></c><c r="E55" s="17"><v>2008</v></c><c r="F55" s="18"><v>2013</v></c><c r="G55" s="19"/><c r="H55" s="19"><v>12185</v></c><c r="I55" s="19"/><c r="J55" s="19"><v>3078</v></c><c r="K55" s="315"/><c r="L55" s="315"/><c r="M55" s="318"/></row><row r="56" spans="2:13" s="33" customFormat="1" ht="15"><c r="B56" s="35" t="s"><v>1071</v></c><c r="C56" s="16" t="s"><v>1059</v></c><c r="D56" s="16" t="s"><v>1039</v></c><c r="E56" s="17"><v>2009</v></c><c r="F56" s="18"><v>2012</v></c><c r="G56" s="19"/><c r="H56" s="19"><v>6499</v></c><c r="I56" s="19"/><c r="J56" s="19"><v>1642</v></c><c r="K56" s="315"/><c r="L56" s="315"/><c r="M56" s="318"/></row><row r="57" spans="2:13" s="33" customFormat="1" ht="45"><c r="B57" s="35" t="s"><v>1071</v></c><c r="C57" s="16" t="s"><v>1060</v></c><c r="D57" s="16" t="s"><v>1065</v></c><c r="E57" s="17"><v>2008</v></c><c r="F57" s="18"><v>2020</v></c><c r="G57" s="19"/><c r="H57" s="19"><v>8123</v></c><c r="I57" s="19"/><c r="J57" s="19"><v>2052</v></c><c r="K57" s="315"/><c r="L57" s="315"/><c r="M57" s="318"/></row><row r="58" spans="2:13" s="33" customFormat="1" ht="30"><c r="B58" s="35" t="s"><v>1071</v></c><c r="C58" s="16" t="s"><v>1061</v></c><c r="D58" s="16" t="s"><v>1066</v></c><c r="E58" s="17"><v>2011</v></c><c r="F58" s="18"><v>2020</v></c><c r="G58" s="19"><v>200000</v></c><c r="H58" s="19"><v>4380</v></c><c r="I58" s="19"/><c r="J58" s="19"><v>1106</v></c><c r="K58" s="315"/><c r="L58" s="315"/><c r="M58" s="318"/></row><row r="59" spans="2:13" s="33" customFormat="1" ht="15"><c r="B59" s="35" t="s"><v>1071</v></c><c r="C59" s="16" t="s"><v>1062</v></c><c r="D59" s="16" t="s"><v>1067</v></c><c r="E59" s="17"><v>2011</v></c><c r="F59" s="18"><v>2015</v></c><c r="G59" s="19"><v>100000</v></c><c r="H59" s="19"><v>14600</v></c><c r="I59" s="19"/><c r="J59" s="19"><v>3688</v></c><c r="K59" s="315"/><c r="L59" s="315"/><c r="M59" s="318"/></row><row r="60" spans="2:13" s="33" customFormat="1" ht="15"><c r="B60" s="35" t="s"><v>1071</v></c><c r="C60" s="16" t="s"><v>1063</v></c><c r="D60" s="16" t="s"><v>1067</v></c><c r="E60" s="17"><v>2010</v></c><c r="F60" s="18"><v>2020</v></c><c r="G60" s="19"><v>70000</v></c><c r="H60" s="19"><v>5110</v></c><c r="I60" s="19"/><c r="J60" s="19"><v>1291</v></c><c r="K60" s="315"/><c r="L60" s="315"/><c r="M60" s="318"/></row><row r="61" spans="2:13" s="33" customFormat="1" ht="15"><c r="B61" s="35" t="s"><v>1071</v></c><c r="C61" s="16" t="s"><v>1064</v></c><c r="D61" s="16" t="s"><v>1067</v></c><c r="E61" s="17"><v>2012</v></c><c r="F61" s="18"><v>2020</v></c><c r="G61" s="19"><v>2500</v></c><c r="H61" s="19"><v>1460</v></c><c r="I61" s="19"/><c r="J61" s="19"><v>369</v></c><c r="K61" s="315"/><c r="L61" s="315"/><c r="M61" s="318"/></row><row r="62" spans="2:13" s="33" customFormat="1" ht="30"><c r="B62" s="35" t="s"><v>1070</v></c><c r="C62" s="16" t="s"><v>1068</v></c><c r="D62" s="16" t="s"><v>1067</v></c><c r="E62" s="17"><v>2016</v></c><c r="F62" s="18"><v>2020</v></c><c r="G62" s="19"><v>60000</v></c><c r="H62" s="19"><v>46</v></c><c r="I62" s="19"/><c r="J62" s="19"><v>12</v></c><c r="K62" s="315"/><c r="L62" s="315"/><c r="M62" s="318"/></row><row r="63" spans="2:13" s="33" customFormat="1" ht="15"><c r="B63" s="35" t="s"><v>1070</v></c><c r="C63" s="16" t="s"><v>1069</v></c><c r="D63" s="16" t="s"><v>1067</v></c><c r="E63" s="17"><v>2011</v></c><c r="F63" s="18"><v>2020</v></c><c r="G63" s="19"><v>10000</v></c><c r="H63" s="19"><v>100</v></c><c r="I63" s="19"/><c r="J63" s="19"><v>27</v></c><c r="K63" s="315"/><c r="L63" s="315"/><c r="M63" s="318"/></row><row r="64" spans="2:13" s="33" customFormat="1" ht="7.5" customHeight="1"><c r="B64" s="35"/><c r="C64" s="16"/><c r="D64" s="16"/><c r="E64" s="17"/><c r="F64" s="18"/><c r="G64" s="19"/><c r="H64" s="19"/><c r="I64" s="19"/><c r="J64" s="19"/><c r="K64" s="316"/><c r="L64" s="316"/><c r="M64" s="319"/></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14"><f>SUM(H66:H79)</f><v>0</v></c><c r="L66" s="314"><f t="shared" ref="L66:M66" si="5">SUM(I66:I79)</f><v>450</v></c><c r="M66" s="317"><f t="shared" si="5"/><v>355</v></c></row><row r="67" spans="2:13" s="33" customFormat="1" ht="15"><c r="B67" s="35" t="str"><f>Translation!$A$175</f><v>Heat (non-renewable)</v></c><c r="C67" s="16"/><c r="D67" s="16"/><c r="E67" s="17"/><c r="F67" s="18"/><c r="G67" s="19"/><c r="H67" s="19"/><c r="I67" s="19"/><c r="J67" s="19"/><c r="K67" s="315"/><c r="L67" s="315"/><c r="M67" s="318"/></row><row r="68" spans="2:13" s="33" customFormat="1" ht="15"><c r="B68" s="35" t="str"><f>Translation!$A$176</f><v>Cold (non-renewable)</v></c><c r="C68" s="16"/><c r="D68" s="16"/><c r="E68" s="17"/><c r="F68" s="18"/><c r="G68" s="19"/><c r="H68" s="19"/><c r="I68" s="19"/><c r="J68" s="19"/><c r="K68" s="315"/><c r="L68" s="315"/><c r="M68" s="318"/></row><row r="69" spans="2:13" s="33" customFormat="1" ht="15"><c r="B69" s="35" t="str"><f>Translation!$A$177</f><v>Hydro</v></c><c r="C69" s="16"/><c r="D69" s="16"/><c r="E69" s="17"/><c r="F69" s="18"/><c r="G69" s="19"/><c r="H69" s="19"/><c r="I69" s="19"/><c r="J69" s="19"/><c r="K69" s="315"/><c r="L69" s="315"/><c r="M69" s="318"/></row><row r="70" spans="2:13" s="33" customFormat="1" ht="15"><c r="B70" s="35" t="str"><f>Translation!$A$178</f><v>Wind</v></c><c r="C70" s="16"/><c r="D70" s="16"/><c r="E70" s="17"/><c r="F70" s="18"/><c r="G70" s="19"/><c r="H70" s="19"/><c r="I70" s="19"/><c r="J70" s="19"/><c r="K70" s="315"/><c r="L70" s="315"/><c r="M70" s="318"/></row><row r="71" spans="2:13" s="33" customFormat="1" ht="15"><c r="B71" s="35" t="str"><f>Translation!$A$179</f><v>Solar</v></c><c r="C71" s="16" t="s"><v>1073</v></c><c r="D71" s="16" t="s"><v>1067</v></c><c r="E71" s="17"><v>2012</v></c><c r="F71" s="18"><v>2014</v></c><c r="G71" s="19"><v>600000</v></c><c r="H71" s="19"/><c r="I71" s="19"><v>450</v></c><c r="J71" s="19"><v>355</v></c><c r="K71" s="315"/><c r="L71" s="315"/><c r="M71" s="318"/></row><row r="72" spans="2:13" s="33" customFormat="1" ht="15"><c r="B72" s="35" t="str"><f>Translation!$A$180</f><v>Geothermal</v></c><c r="C72" s="16"/><c r="D72" s="16"/><c r="E72" s="17"/><c r="F72" s="18"/><c r="G72" s="19"/><c r="H72" s="19"/><c r="I72" s="19"/><c r="J72" s="19"/><c r="K72" s="315"/><c r="L72" s="315"/><c r="M72" s="318"/></row><row r="73" spans="2:13" s="33" customFormat="1" ht="15"><c r="B73" s="35" t="str"><f>Translation!$A$181</f><v>Ocean</v></c><c r="C73" s="16"/><c r="D73" s="16"/><c r="E73" s="17"/><c r="F73" s="18"/><c r="G73" s="19"/><c r="H73" s="19"/><c r="I73" s="19"/><c r="J73" s="19"/><c r="K73" s="315"/><c r="L73" s="315"/><c r="M73" s="318"/></row><row r="74" spans="2:13" s="33" customFormat="1" ht="15"><c r="B74" s="35" t="str"><f>Translation!$A$182</f><v>Biomass</v></c><c r="C74" s="16"/><c r="D74" s="16"/><c r="E74" s="17"/><c r="F74" s="18"/><c r="G74" s="19"/><c r="H74" s="19"/><c r="I74" s="19"/><c r="J74" s="19"/><c r="K74" s="315"/><c r="L74" s="315"/><c r="M74" s="318"/></row><row r="75" spans="2:13" s="33" customFormat="1" ht="15"><c r="B75" s="35" t="str"><f>Translation!$A$183</f><v>Urban waste</v></c><c r="C75" s="16"/><c r="D75" s="16"/><c r="E75" s="17"/><c r="F75" s="18"/><c r="G75" s="19"/><c r="H75" s="19"/><c r="I75" s="19"/><c r="J75" s="19"/><c r="K75" s="315"/><c r="L75" s="315"/><c r="M75" s="318"/></row><row r="76" spans="2:13" s="33" customFormat="1" ht="15"><c r="B76" s="35" t="str"><f>Translation!$A$184</f><v>Storage</v></c><c r="C76" s="16"/><c r="D76" s="16"/><c r="E76" s="17"/><c r="F76" s="18"/><c r="G76" s="19"/><c r="H76" s="19"/><c r="I76" s="19"/><c r="J76" s="19"/><c r="K76" s="315"/><c r="L76" s="315"/><c r="M76" s="318"/></row><row r="77" spans="2:13" s="33" customFormat="1" ht="15"><c r="B77" s="35" t="str"><f>Translation!$A$185</f><v>External connection</v></c><c r="C77" s="16"/><c r="D77" s="16"/><c r="E77" s="17"/><c r="F77" s="18"/><c r="G77" s="19"/><c r="H77" s="19"/><c r="I77" s="19"/><c r="J77" s="19"/><c r="K77" s="315"/><c r="L77" s="315"/><c r="M77" s="318"/></row><row r="78" spans="2:13" s="33" customFormat="1" ht="30"><c r="B78" s="35" t="str"><f>Translation!$A$186</f><v>Distribution losses and self-consumption</v></c><c r="C78" s="16"/><c r="D78" s="16"/><c r="E78" s="17"/><c r="F78" s="18"/><c r="G78" s="19"/><c r="H78" s="19"/><c r="I78" s="19"/><c r="J78" s="19"/><c r="K78" s="315"/><c r="L78" s="315"/><c r="M78" s="318"/></row><row r="79" spans="2:13" s="33" customFormat="1" ht="7.5" customHeight="1"><c r="B79" s="35"/><c r="C79" s="16"/><c r="D79" s="16"/><c r="E79" s="17"/><c r="F79" s="18"/><c r="G79" s="19"/><c r="H79" s="19"/><c r="I79" s="19"/><c r="J79" s="19"/><c r="K79" s="316"/><c r="L79" s="316"/><c r="M79" s="319"/></row><row r="80" spans="2:13" s="33" customFormat="1" ht="15"><c r="B80" s="214" t="str"><f>Translation!A187</f><v>LAND USE PLANNING</v></c><c r="C80" s="215"/><c r="D80" s="215"/><c r="E80" s="216"/><c r="F80" s="216"/><c r="G80" s="217"/><c r="H80" s="217"/><c r="I80" s="217"/><c r="J80" s="217"/><c r="K80" s="217"/><c r="L80" s="217"/><c r="M80" s="217"/></row><row r="81" spans="2:13" s="33" customFormat="1" ht="15"><c r="B81" s="35" t="s"><v>1076</v></c><c r="C81" s="16" t="s"><v>1074</v></c><c r="D81" s="16" t="s"><v>1067</v></c><c r="E81" s="17"><v>2011</v></c><c r="F81" s="18"><v>2020</v></c><c r="G81" s="19"><v>3000</v></c><c r="H81" s="19"/><c r="I81" s="19"/><c r="J81" s="19"><v>60</v></c><c r="K81" s="314"><f>SUM(H81:H85)</f><v>0</v></c><c r="L81" s="314"><f t="shared" ref="L81:M81" si="6">SUM(I81:I85)</f><v>0</v></c><c r="M81" s="314"><f t="shared" si="6"/><v>90</v></c></row><row r="82" spans="2:13" s="33" customFormat="1" ht="15"><c r="B82" s="35" t="s"><v>1076</v></c><c r="C82" s="16" t="s"><v>1075</v></c><c r="D82" s="16" t="s"><v>1067</v></c><c r="E82" s="17"><v>2011</v></c><c r="F82" s="18"><v>2020</v></c><c r="G82" s="19"><v>8000</v></c><c r="H82" s="19"/><c r="I82" s="19"/><c r="J82" s="19"><v>30</v></c><c r="K82" s="315"/><c r="L82" s="315"/><c r="M82" s="315"/></row><row r="83" spans="2:13" s="33" customFormat="1" ht="15"><c r="B83" s="35"/><c r="C83" s="16"/><c r="D83" s="16"/><c r="E83" s="17"/><c r="F83" s="18"/><c r="G83" s="19"/><c r="H83" s="19"/><c r="I83" s="19"/><c r="J83" s="19"/><c r="K83" s="315"/><c r="L83" s="315"/><c r="M83" s="315"/></row><row r="84" spans="2:13" s="33" customFormat="1" ht="15"><c r="B84" s="35"/><c r="C84" s="16"/><c r="D84" s="16"/><c r="E84" s="17"/><c r="F84" s="18"/><c r="G84" s="19"/><c r="H84" s="19"/><c r="I84" s="19"/><c r="J84" s="19"/><c r="K84" s="315"/><c r="L84" s="315"/><c r="M84" s="315"/></row><row r="85" spans="2:13" s="33" customFormat="1" ht="7.5" customHeight="1"><c r="B85" s="35"/><c r="C85" s="16"/><c r="D85" s="16"/><c r="E85" s="17"/><c r="F85" s="18"/><c r="G85" s="19"/><c r="H85" s="19"/><c r="I85" s="19"/><c r="J85" s="19"/><c r="K85" s="316"/><c r="L85" s="316"/><c r="M85" s="316"/></row><row r="86" spans="2:13" s="33" customFormat="1" ht="15"><c r="B86" s="214" t="str"><f>Translation!A192</f><v>PUBLIC PROCUREMENT OF PRODUCTS AND SERVICES</v></c><c r="C86" s="215"/><c r="D86" s="215"/><c r="E86" s="216"/><c r="F86" s="216"/><c r="G86" s="217"/><c r="H86" s="217"/><c r="I86" s="217"/><c r="J86" s="217"/><c r="K86" s="217"/><c r="L86" s="217"/><c r="M86" s="217"/></row><row r="87" spans="2:13" s="33" customFormat="1" ht="30"><c r="B87" s="35" t="str"><f>Translation!A193</f><v>Energy efficiency requirements/standards</v></c><c r="C87" s="16"/><c r="D87" s="16"/><c r="E87" s="17"/><c r="F87" s="18"/><c r="G87" s="19"/><c r="H87" s="19"/><c r="I87" s="19"/><c r="J87" s="19"/><c r="K87" s="314"><f>SUM(H87:H89)</f><v>0</v></c><c r="L87" s="314"><f t="shared" ref="L87:M87" si="7">SUM(I87:I89)</f><v>0</v></c><c r="M87" s="314"><f t="shared" si="7"/><v>0</v></c></row><row r="88" spans="2:13" s="33" customFormat="1" ht="30"><c r="B88" s="35" t="str"><f>Translation!A194</f><v>Renewable energy requirements/standards</v></c><c r="C88" s="16"/><c r="D88" s="16"/><c r="E88" s="17"/><c r="F88" s="18"/><c r="G88" s="19"/><c r="H88" s="19"/><c r="I88" s="19"/><c r="J88" s="19"/><c r="K88" s="315"/><c r="L88" s="315"/><c r="M88" s="315"/></row><row r="89" spans="2:13" s="33" customFormat="1" ht="7.5" customHeight="1"><c r="B89" s="35"/><c r="C89" s="16"/><c r="D89" s="16"/><c r="E89" s="17"/><c r="F89" s="18"/><c r="G89" s="19"/><c r="H89" s="19"/><c r="I89" s="19"/><c r="J89" s="19"/><c r="K89" s="316"/><c r="L89" s="316"/><c r="M89" s="316"/></row><row r="90" spans="2:13" s="33" customFormat="1" ht="15"><c r="B90" s="214" t="str"><f>Translation!A195</f><v>CITIZENS AND STAKEHOLDERS</v></c><c r="C90" s="215"/><c r="D90" s="215"/><c r="E90" s="216"/><c r="F90" s="216"/><c r="G90" s="217"/><c r="H90" s="217"/><c r="I90" s="217"/><c r="J90" s="217"/><c r="K90" s="217"/><c r="L90" s="217"/><c r="M90" s="217"/></row><row r="91" spans="2:13" s="33" customFormat="1" ht="30"><c r="B91" s="35" t="str"><f>Translation!A196</f><v>Advisory services</v></c><c r="C91" s="16" t="s"><v>1077</v></c><c r="D91" s="16" t="s"><v>1067</v></c><c r="E91" s="17"><v>2011</v></c><c r="F91" s="18"><v>2013</v></c><c r="G91" s="19"><v>18000</v></c><c r="H91" s="19"><v>3098</v></c><c r="I91" s="19"><v>70</v></c><c r="J91" s="19"><v>1555</v></c><c r="K91" s="314"><f>SUM(H91:H105)</f><v>32732</v></c><c r="L91" s="314"><f t="shared" ref="L91:M91" si="8">SUM(I91:I105)</f><v>770</v></c><c r="M91" s="314"><f t="shared" si="8"/><v>18204.534</v></c></row><row r="92" spans="2:13" s="33" customFormat="1" ht="15"><c r="B92" s="35" t="s"><v>149</v></c><c r="C92" s="16" t="s"><v>1078</v></c><c r="D92" s="16" t="s"><v>1067</v></c><c r="E92" s="17"><v>2010</v></c><c r="F92" s="18"><v>2011</v></c><c r="G92" s="19"><v>20000</v></c><c r="H92" s="19"><v>8276</v></c><c r="I92" s="19"><v>120</v></c><c r="J92" s="19"><v>3175</v></c><c r="K92" s="315"/><c r="L92" s="315"/><c r="M92" s="315"/></row><row r="93" spans="2:13" s="33" customFormat="1" ht="15"><c r="B93" s="35" t="s"><v>149</v></c><c r="C93" s="16" t="s"><v>1079</v></c><c r="D93" s="16" t="s"><v>1067</v></c><c r="E93" s="17"><v>2010</v></c><c r="F93" s="18"><v>2012</v></c><c r="G93" s="19"><v>8000</v></c><c r="H93" s="19"><v>7400</v></c><c r="I93" s="19"><v>130</v></c><c r="J93" s="19"><v>481</v></c><c r="K93" s="315"/><c r="L93" s="315"/><c r="M93" s="315"/></row><row r="94" spans="2:13" s="33" customFormat="1" ht="15"><c r="B94" s="35" t="s"><v>149</v></c><c r="C94" s="16" t="s"><v>1080</v></c><c r="D94" s="16" t="s"><v>1067</v></c><c r="E94" s="17"><v>2011</v></c><c r="F94" s="18"><v>2020</v></c><c r="G94" s="19"><v>10000</v></c><c r="H94" s="19"><v>6144</v></c><c r="I94" s="19"><v>0</v></c><c r="J94" s="19"><v>4734</v></c><c r="K94" s="315"/><c r="L94" s="315"/><c r="M94" s="315"/></row><row r="95" spans="2:13" s="33" customFormat="1" ht="15"><c r="B95" s="35" t="s"><v>149</v></c><c r="C95" s="16" t="s"><v>1081</v></c><c r="D95" s="16" t="s"><v>1067</v></c><c r="E95" s="17"><v>2011</v></c><c r="F95" s="18"><v>2020</v></c><c r="G95" s="19"><v>0</v></c><c r="H95" s="19" t="s"><v>1091</v></c><c r="I95" s="19"><v>100</v></c><c r="J95" s="19"><v>2000</v></c><c r="K95" s="315"/><c r="L95" s="315"/><c r="M95" s="315"/></row><row r="96" spans="2:13" s="33" customFormat="1" ht="15"><c r="B96" s="35" t="s"><v>149</v></c><c r="C96" s="16" t="s"><v>1082</v></c><c r="D96" s="16" t="s"><v>1067</v></c><c r="E96" s="17"><v>2009</v></c><c r="F96" s="18"><v>2020</v></c><c r="G96" s="19"><v>2000</v></c><c r="H96" s="19"><v>995</v></c><c r="I96" s="19"><v>0</v></c><c r="J96" s="19"><v>258</v></c><c r="K96" s="315"/><c r="L96" s="315"/><c r="M96" s="315"/></row><row r="97" spans="2:13" s="33" customFormat="1" ht="15"><c r="B97" s="35" t="s"><v>149</v></c><c r="C97" s="16" t="s"><v>1083</v></c><c r="D97" s="16" t="s"><v>1067</v></c><c r="E97" s="17"><v>2011</v></c><c r="F97" s="18"><v>2020</v></c><c r="G97" s="19"><v>4500</v></c><c r="H97" s="19"><v>1243</v></c><c r="I97" s="19"><v>0</v></c><c r="J97" s="19"><v>320.69400000000002</v></c><c r="K97" s="315"/><c r="L97" s="315"/><c r="M97" s="315"/></row><row r="98" spans="2:13" s="33" customFormat="1" ht="15"><c r="B98" s="35" t="s"><v>149</v></c><c r="C98" s="16" t="s"><v>1084</v></c><c r="D98" s="16" t="s"><v>1067</v></c><c r="E98" s="17"><v>2011</v></c><c r="F98" s="18"><v>2020</v></c><c r="G98" s="19"><v>5000</v></c><c r="H98" s="19" t="s"><v>1092</v></c><c r="I98" s="19" t="s"><v>1093</v></c><c r="J98" s="19"><v>2330</v></c><c r="K98" s="315"/><c r="L98" s="315"/><c r="M98" s="315"/></row><row r="99" spans="2:13" s="33" customFormat="1" ht="15"><c r="B99" s="35" t="s"><v>9</v></c><c r="C99" s="16" t="s"><v>1085</v></c><c r="D99" s="16" t="s"><v>1067</v></c><c r="E99" s="17"><v>2010</v></c><c r="F99" s="18"><v>2012</v></c><c r="G99" s="19"><v>6000</v></c><c r="H99" s="19"><v>1000</v></c><c r="I99" s="19"><v>200</v></c><c r="J99" s="19"><v>310</v></c><c r="K99" s="315"/><c r="L99" s="315"/><c r="M99" s="315"/></row><row r="100" spans="2:13" s="33" customFormat="1" ht="15"><c r="B100" s="35" t="s"><v>9</v></c><c r="C100" s="16" t="s"><v>1086</v></c><c r="D100" s="16" t="s"><v>1067</v></c><c r="E100" s="17"><v>2010</v></c><c r="F100" s="18"><v>2012</v></c><c r="G100" s="19"><v>1800</v></c><c r="H100" s="19"><v>2000</v></c><c r="I100" s="19"><v>50</v></c><c r="J100" s="19"><v>1000</v></c><c r="K100" s="315"/><c r="L100" s="315"/><c r="M100" s="315"/></row><row r="101" spans="2:13" s="33" customFormat="1" ht="15"><c r="B101" s="35" t="s"><v>9</v></c><c r="C101" s="16" t="s"><v>1087</v></c><c r="D101" s="16" t="s"><v>1067</v></c><c r="E101" s="17"><v>2010</v></c><c r="F101" s="18"><v>2012</v></c><c r="G101" s="19"><v>3000</v></c><c r="H101" s="19"><v>540</v></c><c r="I101" s="19"><v>100</v></c><c r="J101" s="19"><v>526</v></c><c r="K101" s="315"/><c r="L101" s="315"/><c r="M101" s="315"/></row><row r="102" spans="2:13" s="33" customFormat="1" ht="15"><c r="B102" s="35" t="s"><v>9</v></c><c r="C102" s="16" t="s"><v>1088</v></c><c r="D102" s="16" t="s"><v>1067</v></c><c r="E102" s="17"><v>2013</v></c><c r="F102" s="18"><v>2015</v></c><c r="G102" s="19"><v>3000</v></c><c r="H102" s="19"><v>1512</v></c><c r="I102" s="19"><v>0</v></c><c r="J102" s="19"><v>1183.5</v></c><c r="K102" s="315"/><c r="L102" s="315"/><c r="M102" s="315"/></row><row r="103" spans="2:13" s="33" customFormat="1" ht="15"><c r="B103" s="35" t="s"><v>9</v></c><c r="C103" s="16" t="s"><v>1089</v></c><c r="D103" s="16" t="s"><v>1067</v></c><c r="E103" s="17"><v>2010</v></c><c r="F103" s="18"><v>2012</v></c><c r="G103" s="19"><v>3000</v></c><c r="H103" s="19"><v>504</v></c><c r="I103" s="19"/><c r="J103" s="19"><v>326</v></c><c r="K103" s="315"/><c r="L103" s="315"/><c r="M103" s="315"/></row><row r="104" spans="2:13" s="33" customFormat="1" ht="15"><c r="B104" s="35" t="s"><v>9</v></c><c r="C104" s="16" t="s"><v>1090</v></c><c r="D104" s="16" t="s"><v>1067</v></c><c r="E104" s="17"><v>2011</v></c><c r="F104" s="18"><v>2020</v></c><c r="G104" s="19"><v>1000</v></c><c r="H104" s="19"><v>20</v></c><c r="I104" s="19"><v>0</v></c><c r="J104" s="19"><v>5.34</v></c><c r="K104" s="315"/><c r="L104" s="315"/><c r="M104" s="315"/></row><row r="105" spans="2:13" s="33" customFormat="1" ht="7.5" customHeight="1"><c r="B105" s="35"/><c r="C105" s="16"/><c r="D105" s="16"/><c r="E105" s="17"/><c r="F105" s="18"/><c r="G105" s="19"/><c r="H105" s="19"/><c r="I105" s="19"/><c r="J105" s="19"/><c r="K105" s="316"/><c r="L105" s="316"/><c r="M105" s="316"/></row><row r="106" spans="2:13" s="33" customFormat="1" ht="15"><c r="B106" s="214" t="s"><v>1094</v></c><c r="C106" s="215"/><c r="D106" s="215"/><c r="E106" s="216"/><c r="F106" s="216"/><c r="G106" s="217"/><c r="H106" s="217"/><c r="I106" s="217"/><c r="J106" s="217"/><c r="K106" s="217"/><c r="L106" s="217"/><c r="M106" s="217"/></row><row r="107" spans="2:13" s="33" customFormat="1" ht="15"><c r="B107" s="35" t="s"><v>1040</v></c><c r="C107" s="16" t="s"><v>1101</v></c><c r="D107" s="16" t="s"><v>1067</v></c><c r="E107" s="17"><v>2011</v></c><c r="F107" s="18"><v>2012</v></c><c r="G107" s="19"><v>18000</v></c><c r="H107" s="19"><v>43</v></c><c r="I107" s="19"><v>0</v></c><c r="J107" s="19"><v>23</v></c><c r="K107" s="338"><f>SUM(H107:H114)</f><v>426</v></c><c r="L107" s="338"><f t="shared" ref="L107:M107" si="9">SUM(I107:I114)</f><v>60</v></c><c r="M107" s="338"><f t="shared" si="9"/><v>334.69000000000005</v></c></row><row r="108" spans="2:13" s="33" customFormat="1" ht="15"><c r="B108" s="165" t="s"><v>1102</v></c><c r="C108" s="16" t="s"><v>1095</v></c><c r="D108" s="16" t="s"><v>1067</v></c><c r="E108" s="17"><v>2011</v></c><c r="F108" s="18"><v>2012</v></c><c r="G108" s="19"><v>46000</v></c><c r="H108" s="19"><v>69</v></c><c r="I108" s="19"><v>0</v></c><c r="J108" s="19"><v>55</v></c><c r="K108" s="338"/><c r="L108" s="338"/><c r="M108" s="338"/></row><row r="109" spans="2:13" s="33" customFormat="1" ht="15"><c r="B109" s="35" t="s"><v>1040</v></c><c r="C109" s="16" t="s"><v>1096</v></c><c r="D109" s="16" t="s"><v>1067</v></c><c r="E109" s="17"><v>2011</v></c><c r="F109" s="18"><v>2012</v></c><c r="G109" s="19"><v>45000</v></c><c r="H109" s="19"><v>150</v></c><c r="I109" s="19"><v>0</v></c><c r="J109" s="19"><v>80</v></c><c r="K109" s="338"/><c r="L109" s="338"/><c r="M109" s="338"/></row><row r="110" spans="2:13" s="33" customFormat="1" ht="15" customHeight="1"><c r="B110" s="165" t="s"><v>1102</v></c><c r="C110" s="16" t="s"><v>1097</v></c><c r="D110" s="16" t="s"><v>1067</v></c><c r="E110" s="17"><v>2011</v></c><c r="F110" s="18"><v>2012</v></c><c r="G110" s="19"><v>1500</v></c><c r="H110" s="19"><v>14</v></c><c r="I110" s="19"><v>0</v></c><c r="J110" s="19"><v>11</v></c><c r="K110" s="338"/><c r="L110" s="338"/><c r="M110" s="338"/></row><row r="111" spans="2:13" s="33" customFormat="1" ht="30"><c r="B111" s="35" t="s"><v>1043</v></c><c r="C111" s="16" t="s"><v>1098</v></c><c r="D111" s="16" t="s"><v>1067</v></c><c r="E111" s="17"><v>2011</v></c><c r="F111" s="18"><v>2012</v></c><c r="G111" s="19"><v>44000</v></c><c r="H111" s="19"><v>0</v></c><c r="I111" s="19"><v>30</v></c><c r="J111" s="19"><v>23.67</v></c><c r="K111" s="338"/><c r="L111" s="338"/><c r="M111" s="338"/></row><row r="112" spans="2:13" s="33" customFormat="1" ht="30"><c r="B112" s="35" t="s"><v>1043</v></c><c r="C112" s="16" t="s"><v>1099</v></c><c r="D112" s="16" t="s"><v>1067</v></c><c r="E112" s="17"><v>2012</v></c><c r="F112" s="18"><v>2013</v></c><c r="G112" s="19"><v>44000</v></c><c r="H112" s="19"><v>0</v></c><c r="I112" s="19"><v>30</v></c><c r="J112" s="19"><v>23.67</v></c><c r="K112" s="338"/><c r="L112" s="338"/><c r="M112" s="338"/></row><row r="113" spans="1:18" s="33" customFormat="1" ht="15" customHeight="1"><c r="B113" s="35" t="s"><v>1040</v></c><c r="C113" s="16" t="s"><v>1100</v></c><c r="D113" s="16" t="s"><v>1067</v></c><c r="E113" s="17"><v>2013</v></c><c r="F113" s="18"><v>2014</v></c><c r="G113" s="19"><v>464000</v></c><c r="H113" s="19"><v>150</v></c><c r="I113" s="19"/><c r="J113" s="19"><v>118.35000000000001</v></c><c r="K113" s="338"/><c r="L113" s="338"/><c r="M113" s="338"/></row><row r="114" spans="1:18" s="33" customFormat="1" ht="15"><c r="B114" s="165"/><c r="C114" s="16"/><c r="D114" s="16"/><c r="E114" s="17"/><c r="F114" s="18"/><c r="G114" s="19"/><c r="H114" s="19"/><c r="I114" s="19"/><c r="J114" s="19"/><c r="K114" s="338"/><c r="L114" s="338"/><c r="M114" s="338"/></row><row r="115" spans="1:18" s="33" customFormat="1" ht="15"><c r="B115" s="335" t="str"><f>Translation!A208</f><v>TOTAL</v></c><c r="C115" s="336"/><c r="D115" s="336"/><c r="E115" s="336"/><c r="F115" s="337"/><c r="G115" s="220"><f>SUM(G14:G114)</f><v>3409300</v></c><c r="H115" s="220"><f>SUM(H14:H114)</f><v>261868</v></c><c r="I115" s="220"><f>SUM(I14:I114)</f><v>9407</v></c><c r="J115" s="220"><f>SUM(J14:J114)</f><v>105950.224</v></c><c r="K115" s="36"><f>K14+K25+K29+K41+K53+K66+K81+K87+K91+K107</f><v>261868</v></c><c r="L115" s="36"><f t="shared" ref="L115:M115" si="10">L14+L25+L29+L41+L53+L66+L81+L87+L91+L107</f><v>9407</v></c><c r="M115" s="36"><f t="shared" si="10"/><v>105950.224</v></c></row><row r="116" spans="1:18" ht="17.25" customHeight="1"><c r="B116" s="37"/><c r="C116" s="38"/><c r="D116" s="39"/><c r="E116" s="40"/><c r="F116" s="41"/><c r="J116" s="42"/></row><row r="117" spans="1:18" s="107" customFormat="1" ht="36"><c r="A117" s="106" t="s"><v>10</v></c><c r="B117" s="334" t="str"><f>Translation!A209</f><v>WEBSITE</v></c><c r="C117" s="334"/><c r="D117" s="334"/><c r="E117" s="334"/><c r="F117" s="334"/><c r="G117" s="334"/><c r="H117" s="334"/><c r="I117" s="334"/><c r="J117" s="334"/><c r="K117" s="334"/><c r="L117" s="334"/><c r="M117" s="334"/></row><row r="118" spans="1:18" ht="15.75" customHeight="1"><c r="A118" s="43"/><c r="C118" s="44" t="str"><f>Translation!A210</f><v>Direct link to the webpage dedicated to ISEAP (if any)</v></c><c r="D118" s="331" t="s"><v>1103</v></c><c r="E118" s="332"/><c r="F118" s="332"/><c r="G118" s="332"/><c r="H118" s="333"/><c r="I118" s="26"/><c r="L118" s="21" t="s"><v>1113</v></c><c r="M118" s="339"><f>'Baseline emission inventory'!Y137</f><v>493083.39021941012</v></c></row><row r="119" spans="1:18" ht="17.25" customHeight="1"><c r="B119" s="37"/><c r="J119" s="42"/><c r="L119" s="21" t="s"><v>1114</v></c><c r="M119" s="339"><f>'BAU 2020'!Y137</f><v>500902.53481955972</v></c><c r="O119" s="21" t="s"><v>1116</v></c><c r="R119" s="21" t="s"><v>1117</v></c></row><row r="120" spans="1:18" ht="12.75" customHeight="1"><c r="C120" s="340"/><c r="D120" s="340"/><c r="E120" s="340"/><c r="F120" s="340"/><c r="G120" s="340"/><c r="H120" s="340"/><c r="I120" s="340"/><c r="J120" s="340"/><c r="K120" s="340"/><c r="L120" s="340" t="s"><v>1115</v></c><c r="M120" s="342"><f>M119-M115</f><v>394952.31081955973</v></c><c r="O120" s="343"><f>1-M120/M119</f><v>0.21151864212099958</v></c><c r="R120" s="343"><f>1-M120/M118</f><v>0.19901517947336345</v></c></row><row r="121" spans="1:18" ht="12.75" customHeight="1"><c r="B121" s="340"/><c r="C121" s="340"/><c r="D121" s="340"/><c r="E121" s="340"/><c r="F121" s="340"/><c r="G121" s="340"/><c r="H121" s="340"/><c r="I121" s="340"/><c r="J121" s="340"/><c r="K121" s="340"/><c r="L121" s="340"/><c r="M121" s="340"/></row><row r="122" spans="1:18" ht="12.75" customHeight="1"><c r="B122" s="341"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2" s="341"/><c r="D122" s="341"/><c r="E122" s="341"/><c r="F122" s="341"/><c r="G122" s="341"/><c r="H122" s="341"/><c r="I122" s="341"/><c r="J122" s="341"/><c r="K122" s="341"/><c r="L122" s="341"/><c r="M122" s="341"/></row></sheetData><mergeCells count="52"><mergeCell ref="D118:H118"/><mergeCell ref="B117:M117"/><mergeCell ref="B115:F115"/><mergeCell ref="K87:K89"/><mergeCell ref="L87:L89"/><mergeCell ref="M87:M89"/><mergeCell ref="K107:K114"/><mergeCell ref="L107:L114"/><mergeCell ref="M107:M114"/><mergeCell ref="K91:K105"/><mergeCell ref="L91:L105"/><mergeCell ref="M91:M105"/><mergeCell ref="B122:M122"/><mergeCell ref="B10:M10"/><mergeCell ref="B5:M5"/><mergeCell ref="K29:K39"/><mergeCell ref="L29:L39"/><mergeCell ref="M29:M39"/><mergeCell ref="K25:K27"/><mergeCell ref="L25:L27"/><mergeCell ref="M25:M27"/><mergeCell ref="K14:K23"/><mergeCell ref="L14:L23"/><mergeCell ref="M14:M2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3:K64"/><mergeCell ref="L53:L64"/><mergeCell ref="M53:M64"/><mergeCell ref="K41:K51"/><mergeCell ref="L41:L51"/><mergeCell ref="M41:M51"/><mergeCell ref="L81:L85"/><mergeCell ref="M81:M85"/><mergeCell ref="K66:K79"/><mergeCell ref="L66:L79"/><mergeCell ref="M66:M79"/><mergeCell ref="K81:K85"/></mergeCells><hyperlinks><hyperlink ref="D118"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605DA969-558B-4662-824B-2F703E942B82}" xmlns:ds="http://schemas.openxmlformats.org/officeDocument/2006/customXml"/>
</file>

<file path=customXml/itemProps2.xml><?xml version="1.0" encoding="UTF-8" standalone="no"?>
<ds:datastoreItem ds:itemID_"{E31E38F6-679F-4958-959F-2C789A651BD6}" xmlns:ds="http://schemas.openxmlformats.org/officeDocument/2006/customXml"/>
</file>

<file path=customXml/itemProps3.xml><?xml version="1.0" encoding="UTF-8" standalone="no"?>
<ds:datastoreItem ds:itemID_"{A52711A2-92D6-4FD4-B85D-A230ED0EF03E}"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2012-06-08T14:48:40Z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